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ueduph-my.sharepoint.com/personal/jmamanankil_tsu_edu_ph/Documents/BAC SEC FILES 2024/A.Public Bidding/Infrastructure Projects/Repainting of TSU Hotel/Bid Docs-Repair and Repainting of TSU Hotel/"/>
    </mc:Choice>
  </mc:AlternateContent>
  <xr:revisionPtr revIDLastSave="7" documentId="13_ncr:1_{BF87E8E0-22A6-4A45-B2FD-AB5F63A7406A}" xr6:coauthVersionLast="47" xr6:coauthVersionMax="47" xr10:uidLastSave="{0A493013-A2D0-4938-A98A-6D37751F4B9E}"/>
  <bookViews>
    <workbookView xWindow="-120" yWindow="-120" windowWidth="29040" windowHeight="15840" tabRatio="809" firstSheet="2" activeTab="2" xr2:uid="{00000000-000D-0000-FFFF-FFFF00000000}"/>
  </bookViews>
  <sheets>
    <sheet name="Revised Repainting of TSU Hotel" sheetId="49" state="hidden" r:id="rId1"/>
    <sheet name="Repainting of TSU Hotel Facade" sheetId="42" state="hidden" r:id="rId2"/>
    <sheet name="1.1" sheetId="44" r:id="rId3"/>
    <sheet name="1.2" sheetId="88" r:id="rId4"/>
    <sheet name="1.3" sheetId="89" r:id="rId5"/>
    <sheet name="2.1" sheetId="90" r:id="rId6"/>
    <sheet name="2.2" sheetId="91" r:id="rId7"/>
    <sheet name="2.3" sheetId="92" r:id="rId8"/>
    <sheet name="2.4" sheetId="93" r:id="rId9"/>
    <sheet name="2.5" sheetId="94" r:id="rId10"/>
    <sheet name="2.6" sheetId="95" r:id="rId11"/>
    <sheet name="2.7" sheetId="96" r:id="rId12"/>
    <sheet name="2.8" sheetId="97" r:id="rId13"/>
    <sheet name="2.9" sheetId="98" r:id="rId14"/>
    <sheet name="3.1" sheetId="99" r:id="rId15"/>
    <sheet name="3.2" sheetId="100" r:id="rId16"/>
    <sheet name="3.3" sheetId="101" r:id="rId17"/>
    <sheet name="3.4" sheetId="102" r:id="rId18"/>
    <sheet name="3.5" sheetId="103" r:id="rId19"/>
    <sheet name="3.6" sheetId="104" r:id="rId20"/>
    <sheet name="3.7" sheetId="105" r:id="rId21"/>
    <sheet name="4.1" sheetId="106" r:id="rId22"/>
    <sheet name="4.2" sheetId="107" r:id="rId23"/>
    <sheet name="4.3" sheetId="108" r:id="rId24"/>
    <sheet name="4.4" sheetId="109" r:id="rId25"/>
    <sheet name="4.5" sheetId="110" r:id="rId26"/>
    <sheet name="4.6" sheetId="111" r:id="rId27"/>
    <sheet name="4.7" sheetId="112" r:id="rId28"/>
    <sheet name="4.8" sheetId="113" r:id="rId29"/>
    <sheet name="4.9" sheetId="114" r:id="rId30"/>
    <sheet name="Left" sheetId="51" state="hidden" r:id="rId31"/>
    <sheet name="Right" sheetId="50" state="hidden" r:id="rId32"/>
    <sheet name="Front" sheetId="43" state="hidden" r:id="rId33"/>
    <sheet name="Rear" sheetId="52" state="hidden" r:id="rId34"/>
    <sheet name="Scaffolding Works" sheetId="56" state="hidden" r:id="rId35"/>
    <sheet name="COMPUTATION" sheetId="19" state="hidden" r:id="rId36"/>
    <sheet name="PPO Detailed Estimate" sheetId="9" state="hidden" r:id="rId37"/>
    <sheet name="IMO-PPO ESTIMATE new format" sheetId="12" state="hidden" r:id="rId38"/>
    <sheet name="IMO Detailed Estimate" sheetId="3" state="hidden" r:id="rId39"/>
    <sheet name="2blackboard" sheetId="8" state="hidden" r:id="rId40"/>
    <sheet name="3blackboard1whiteboard" sheetId="7" state="hidden" r:id="rId41"/>
    <sheet name="INITIATOR ADD ORDER REQUEST" sheetId="5" state="hidden" r:id="rId42"/>
    <sheet name="ADDITIONAL WORKS AUTHORIZATION" sheetId="6" state="hidden" r:id="rId43"/>
  </sheets>
  <definedNames>
    <definedName name="_xlnm.Print_Area" localSheetId="2">'1.1'!$A$1:$F$54</definedName>
    <definedName name="_xlnm.Print_Area" localSheetId="3">'1.2'!$A$1:$F$52</definedName>
    <definedName name="_xlnm.Print_Area" localSheetId="4">'1.3'!$A$1:$F$52</definedName>
    <definedName name="_xlnm.Print_Area" localSheetId="5">'2.1'!$A$1:$F$52</definedName>
    <definedName name="_xlnm.Print_Area" localSheetId="6">'2.2'!$A$1:$F$52</definedName>
    <definedName name="_xlnm.Print_Area" localSheetId="7">'2.3'!$A$1:$F$52</definedName>
    <definedName name="_xlnm.Print_Area" localSheetId="8">'2.4'!$A$1:$F$52</definedName>
    <definedName name="_xlnm.Print_Area" localSheetId="9">'2.5'!$A$1:$F$52</definedName>
    <definedName name="_xlnm.Print_Area" localSheetId="10">'2.6'!$A$1:$F$52</definedName>
    <definedName name="_xlnm.Print_Area" localSheetId="11">'2.7'!$A$1:$F$52</definedName>
    <definedName name="_xlnm.Print_Area" localSheetId="12">'2.8'!$A$1:$F$52</definedName>
    <definedName name="_xlnm.Print_Area" localSheetId="13">'2.9'!$A$1:$F$52</definedName>
    <definedName name="_xlnm.Print_Area" localSheetId="14">'3.1'!$A$1:$F$52</definedName>
    <definedName name="_xlnm.Print_Area" localSheetId="15">'3.2'!$A$1:$F$52</definedName>
    <definedName name="_xlnm.Print_Area" localSheetId="16">'3.3'!$A$1:$F$52</definedName>
    <definedName name="_xlnm.Print_Area" localSheetId="17">'3.4'!$A$1:$F$52</definedName>
    <definedName name="_xlnm.Print_Area" localSheetId="18">'3.5'!$A$1:$F$52</definedName>
    <definedName name="_xlnm.Print_Area" localSheetId="19">'3.6'!$A$1:$F$52</definedName>
    <definedName name="_xlnm.Print_Area" localSheetId="20">'3.7'!$A$1:$F$52</definedName>
    <definedName name="_xlnm.Print_Area" localSheetId="21">'4.1'!$A$1:$F$52</definedName>
    <definedName name="_xlnm.Print_Area" localSheetId="22">'4.2'!$A$1:$F$52</definedName>
    <definedName name="_xlnm.Print_Area" localSheetId="23">'4.3'!$A$1:$F$52</definedName>
    <definedName name="_xlnm.Print_Area" localSheetId="24">'4.4'!$A$1:$F$52</definedName>
    <definedName name="_xlnm.Print_Area" localSheetId="25">'4.5'!$A$1:$F$52</definedName>
    <definedName name="_xlnm.Print_Area" localSheetId="26">'4.6'!$A$1:$F$52</definedName>
    <definedName name="_xlnm.Print_Area" localSheetId="27">'4.7'!$A$1:$F$52</definedName>
    <definedName name="_xlnm.Print_Area" localSheetId="28">'4.8'!$A$1:$F$52</definedName>
    <definedName name="_xlnm.Print_Area" localSheetId="29">'4.9'!$A$1:$F$52</definedName>
    <definedName name="_xlnm.Print_Area" localSheetId="42">'ADDITIONAL WORKS AUTHORIZATION'!$A$1:$K$62</definedName>
    <definedName name="_xlnm.Print_Area" localSheetId="38">'IMO Detailed Estimate'!$A$1:$M$160</definedName>
    <definedName name="_xlnm.Print_Area" localSheetId="37">'IMO-PPO ESTIMATE new format'!$A$1:$M$159</definedName>
    <definedName name="_xlnm.Print_Area" localSheetId="36">'PPO Detailed Estimate'!$A$1:$I$125</definedName>
    <definedName name="_xlnm.Print_Area" localSheetId="1">'Repainting of TSU Hotel Facade'!$A$1:$O$106</definedName>
    <definedName name="_xlnm.Print_Area" localSheetId="0">'Revised Repainting of TSU Hotel'!$A$1:$O$79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14" l="1"/>
  <c r="E10" i="114"/>
  <c r="F10" i="113"/>
  <c r="E10" i="113" s="1"/>
  <c r="F10" i="112"/>
  <c r="E10" i="112" s="1"/>
  <c r="F10" i="111"/>
  <c r="E10" i="111" s="1"/>
  <c r="F10" i="110"/>
  <c r="E10" i="110"/>
  <c r="F10" i="109"/>
  <c r="E10" i="109"/>
  <c r="F10" i="108"/>
  <c r="E10" i="108"/>
  <c r="F10" i="107"/>
  <c r="E10" i="107" s="1"/>
  <c r="F10" i="106"/>
  <c r="E10" i="106"/>
  <c r="F10" i="105"/>
  <c r="E10" i="105" s="1"/>
  <c r="F10" i="104"/>
  <c r="E10" i="104" s="1"/>
  <c r="F10" i="103"/>
  <c r="E10" i="103"/>
  <c r="F10" i="102"/>
  <c r="E10" i="102" s="1"/>
  <c r="F10" i="101"/>
  <c r="E10" i="101" s="1"/>
  <c r="F10" i="100"/>
  <c r="E10" i="100"/>
  <c r="F10" i="99"/>
  <c r="E10" i="99"/>
  <c r="F10" i="98"/>
  <c r="E10" i="98" s="1"/>
  <c r="F10" i="97"/>
  <c r="E10" i="97" s="1"/>
  <c r="F10" i="96"/>
  <c r="E10" i="96" s="1"/>
  <c r="F10" i="95"/>
  <c r="E10" i="95" s="1"/>
  <c r="F10" i="94"/>
  <c r="E10" i="94"/>
  <c r="F10" i="93"/>
  <c r="E10" i="93" s="1"/>
  <c r="F10" i="92"/>
  <c r="E10" i="92"/>
  <c r="F10" i="91"/>
  <c r="E10" i="91" s="1"/>
  <c r="F10" i="90"/>
  <c r="E10" i="90" s="1"/>
  <c r="F10" i="89"/>
  <c r="E10" i="89" s="1"/>
  <c r="F10" i="88"/>
  <c r="E10" i="88" s="1"/>
  <c r="A49" i="42"/>
  <c r="A55" i="42"/>
  <c r="A61" i="42"/>
  <c r="A45" i="42"/>
  <c r="A46" i="42"/>
  <c r="C56" i="42"/>
  <c r="C62" i="42"/>
  <c r="J10" i="56"/>
  <c r="H7" i="56"/>
  <c r="H3" i="56"/>
  <c r="C59" i="42"/>
  <c r="S59" i="42" s="1"/>
  <c r="C58" i="42"/>
  <c r="Q58" i="42" s="1"/>
  <c r="C57" i="42"/>
  <c r="Q57" i="42" s="1"/>
  <c r="Q69" i="42" s="1"/>
  <c r="R53" i="42"/>
  <c r="R52" i="42"/>
  <c r="R51" i="42"/>
  <c r="R46" i="42"/>
  <c r="R47" i="42"/>
  <c r="G47" i="42"/>
  <c r="J47" i="42"/>
  <c r="K47" i="42"/>
  <c r="L47" i="42"/>
  <c r="Q47" i="42"/>
  <c r="S47" i="42"/>
  <c r="M47" i="42"/>
  <c r="N47" i="42"/>
  <c r="O47" i="42"/>
  <c r="T47" i="42"/>
  <c r="F67" i="42"/>
  <c r="F66" i="42"/>
  <c r="F65" i="42"/>
  <c r="F64" i="42"/>
  <c r="F63" i="42"/>
  <c r="F62" i="42"/>
  <c r="F56" i="42"/>
  <c r="F59" i="42"/>
  <c r="G59" i="42"/>
  <c r="F58" i="42"/>
  <c r="F57" i="42"/>
  <c r="J56" i="42"/>
  <c r="Q56" i="42"/>
  <c r="J59" i="42"/>
  <c r="G56" i="42"/>
  <c r="S56" i="42"/>
  <c r="R56" i="42"/>
  <c r="K59" i="42"/>
  <c r="L59" i="42"/>
  <c r="K56" i="42"/>
  <c r="L56" i="42"/>
  <c r="M56" i="42"/>
  <c r="N56" i="42"/>
  <c r="O56" i="42"/>
  <c r="M59" i="42"/>
  <c r="T56" i="42"/>
  <c r="C50" i="42"/>
  <c r="R50" i="42"/>
  <c r="Q51" i="42"/>
  <c r="G51" i="42"/>
  <c r="S51" i="42"/>
  <c r="J51" i="42"/>
  <c r="R62" i="42"/>
  <c r="Q62" i="42"/>
  <c r="J62" i="42"/>
  <c r="G58" i="42"/>
  <c r="J58" i="42"/>
  <c r="Q65" i="42"/>
  <c r="J65" i="42"/>
  <c r="Q64" i="42"/>
  <c r="J64" i="42"/>
  <c r="Q63" i="42"/>
  <c r="J63" i="42"/>
  <c r="G64" i="42"/>
  <c r="S64" i="42"/>
  <c r="G65" i="42"/>
  <c r="S65" i="42"/>
  <c r="R63" i="42"/>
  <c r="J57" i="42"/>
  <c r="G3" i="56"/>
  <c r="I7" i="56"/>
  <c r="J7" i="56"/>
  <c r="A50" i="42"/>
  <c r="A51" i="42"/>
  <c r="G62" i="42"/>
  <c r="S62" i="42"/>
  <c r="G63" i="42"/>
  <c r="S63" i="42"/>
  <c r="R65" i="42"/>
  <c r="R64" i="42"/>
  <c r="K51" i="42"/>
  <c r="L51" i="42"/>
  <c r="M51" i="42"/>
  <c r="N51" i="42"/>
  <c r="K58" i="42"/>
  <c r="K65" i="42"/>
  <c r="L65" i="42"/>
  <c r="M65" i="42"/>
  <c r="K64" i="42"/>
  <c r="L64" i="42"/>
  <c r="G57" i="42"/>
  <c r="A52" i="42"/>
  <c r="L10" i="56"/>
  <c r="L7" i="56"/>
  <c r="A56" i="42"/>
  <c r="K62" i="42"/>
  <c r="L62" i="42"/>
  <c r="M62" i="42"/>
  <c r="T62" i="42"/>
  <c r="K63" i="42"/>
  <c r="L63" i="42"/>
  <c r="M63" i="42"/>
  <c r="O51" i="42"/>
  <c r="T51" i="42"/>
  <c r="L58" i="42"/>
  <c r="M58" i="42"/>
  <c r="T65" i="42"/>
  <c r="N65" i="42"/>
  <c r="O65" i="42"/>
  <c r="M64" i="42"/>
  <c r="G50" i="42"/>
  <c r="S50" i="42"/>
  <c r="G52" i="42"/>
  <c r="S52" i="42"/>
  <c r="G53" i="42"/>
  <c r="S53" i="42"/>
  <c r="G66" i="42"/>
  <c r="S66" i="42"/>
  <c r="G67" i="42"/>
  <c r="S67" i="42"/>
  <c r="K57" i="42"/>
  <c r="L57" i="42"/>
  <c r="M57" i="42"/>
  <c r="A57" i="42"/>
  <c r="A53" i="42"/>
  <c r="A62" i="42"/>
  <c r="A63" i="42"/>
  <c r="N62" i="42"/>
  <c r="T63" i="42"/>
  <c r="N63" i="42"/>
  <c r="O63" i="42"/>
  <c r="N64" i="42"/>
  <c r="O64" i="42"/>
  <c r="T64" i="42"/>
  <c r="A64" i="42"/>
  <c r="A58" i="42"/>
  <c r="O62" i="42"/>
  <c r="A65" i="42"/>
  <c r="A59" i="42"/>
  <c r="J50" i="42"/>
  <c r="Q50" i="42"/>
  <c r="A66" i="42"/>
  <c r="A67" i="42"/>
  <c r="K50" i="42"/>
  <c r="L50" i="42"/>
  <c r="M50" i="42"/>
  <c r="T50" i="42"/>
  <c r="N50" i="42"/>
  <c r="O50" i="42"/>
  <c r="Q46" i="42"/>
  <c r="Q52" i="42"/>
  <c r="Q53" i="42"/>
  <c r="Q66" i="42"/>
  <c r="Q67" i="42"/>
  <c r="Q45" i="42"/>
  <c r="R66" i="42"/>
  <c r="R67" i="42"/>
  <c r="K65" i="52"/>
  <c r="K66" i="52"/>
  <c r="K67" i="52"/>
  <c r="K68" i="52"/>
  <c r="K69" i="52"/>
  <c r="K70" i="52"/>
  <c r="K71" i="52"/>
  <c r="K72" i="52"/>
  <c r="K73" i="52"/>
  <c r="K74" i="52"/>
  <c r="K75" i="52"/>
  <c r="K76" i="52"/>
  <c r="K77" i="52"/>
  <c r="K78" i="52"/>
  <c r="K79" i="52"/>
  <c r="K80" i="52"/>
  <c r="K81" i="52"/>
  <c r="K82" i="52"/>
  <c r="H56" i="52"/>
  <c r="K83" i="52"/>
  <c r="H57" i="52"/>
  <c r="K84" i="52"/>
  <c r="H58" i="52"/>
  <c r="K85" i="52"/>
  <c r="H59" i="52"/>
  <c r="K86" i="52"/>
  <c r="H60" i="52"/>
  <c r="K87" i="52"/>
  <c r="H61" i="52"/>
  <c r="K88" i="52"/>
  <c r="H62" i="52"/>
  <c r="K89" i="52"/>
  <c r="H63" i="52"/>
  <c r="K90" i="52"/>
  <c r="H64" i="52"/>
  <c r="K91" i="52"/>
  <c r="K92" i="52"/>
  <c r="K93" i="52"/>
  <c r="K94" i="52"/>
  <c r="K106" i="52"/>
  <c r="H72" i="52"/>
  <c r="H71" i="52"/>
  <c r="L103" i="52"/>
  <c r="L102" i="52"/>
  <c r="L101" i="52"/>
  <c r="L100" i="52"/>
  <c r="L99" i="52"/>
  <c r="L98" i="52"/>
  <c r="L97" i="52"/>
  <c r="L96" i="52"/>
  <c r="L95" i="52"/>
  <c r="L94" i="52"/>
  <c r="L93" i="52"/>
  <c r="L92" i="52"/>
  <c r="L91" i="52"/>
  <c r="L90" i="52"/>
  <c r="L89" i="52"/>
  <c r="L88" i="52"/>
  <c r="L87" i="52"/>
  <c r="L86" i="52"/>
  <c r="L85" i="52"/>
  <c r="L84" i="52"/>
  <c r="L83" i="52"/>
  <c r="L82" i="52"/>
  <c r="L81" i="52"/>
  <c r="L80" i="52"/>
  <c r="L79" i="52"/>
  <c r="L78" i="52"/>
  <c r="L77" i="52"/>
  <c r="L76" i="52"/>
  <c r="L75" i="52"/>
  <c r="L74" i="52"/>
  <c r="L73" i="52"/>
  <c r="L72" i="52"/>
  <c r="L71" i="52"/>
  <c r="L70" i="52"/>
  <c r="L69" i="52"/>
  <c r="L68" i="52"/>
  <c r="L67" i="52"/>
  <c r="B67" i="52"/>
  <c r="L66" i="52"/>
  <c r="L65" i="52"/>
  <c r="F60" i="52"/>
  <c r="B58" i="52"/>
  <c r="D58" i="52"/>
  <c r="D55" i="52"/>
  <c r="B52" i="52"/>
  <c r="C52" i="52"/>
  <c r="E52" i="52"/>
  <c r="B51" i="52"/>
  <c r="C51" i="52"/>
  <c r="E51" i="52"/>
  <c r="B50" i="52"/>
  <c r="C50" i="52"/>
  <c r="E50" i="52"/>
  <c r="C43" i="52"/>
  <c r="B39" i="52"/>
  <c r="B38" i="52"/>
  <c r="B37" i="52"/>
  <c r="B36" i="52"/>
  <c r="B35" i="52"/>
  <c r="B34" i="52"/>
  <c r="B33" i="52"/>
  <c r="B32" i="52"/>
  <c r="B31" i="52"/>
  <c r="B30" i="52"/>
  <c r="B29" i="52"/>
  <c r="B41" i="52"/>
  <c r="D25" i="52"/>
  <c r="F25" i="52"/>
  <c r="D24" i="52"/>
  <c r="F24" i="52"/>
  <c r="D23" i="52"/>
  <c r="F23" i="52"/>
  <c r="D22" i="52"/>
  <c r="F22" i="52"/>
  <c r="F26" i="52"/>
  <c r="E20" i="52"/>
  <c r="H11" i="52"/>
  <c r="H12" i="52"/>
  <c r="F11" i="52"/>
  <c r="F12" i="52"/>
  <c r="G11" i="52"/>
  <c r="G12" i="52"/>
  <c r="J6" i="52"/>
  <c r="J5" i="52"/>
  <c r="R4" i="52"/>
  <c r="R3" i="52"/>
  <c r="R2" i="52"/>
  <c r="R5" i="52"/>
  <c r="L65" i="51"/>
  <c r="L66" i="51"/>
  <c r="L67" i="51"/>
  <c r="L68" i="51"/>
  <c r="L69" i="51"/>
  <c r="L70" i="51"/>
  <c r="L71" i="51"/>
  <c r="L72" i="51"/>
  <c r="L73" i="51"/>
  <c r="L74" i="51"/>
  <c r="L75" i="51"/>
  <c r="L76" i="51"/>
  <c r="L77" i="51"/>
  <c r="L78" i="51"/>
  <c r="L79" i="51"/>
  <c r="L80" i="51"/>
  <c r="L81" i="51"/>
  <c r="L82" i="51"/>
  <c r="L83" i="51"/>
  <c r="L84" i="51"/>
  <c r="L85" i="51"/>
  <c r="L86" i="51"/>
  <c r="L87" i="51"/>
  <c r="L88" i="51"/>
  <c r="L89" i="51"/>
  <c r="L90" i="51"/>
  <c r="L91" i="51"/>
  <c r="L92" i="51"/>
  <c r="L93" i="51"/>
  <c r="L94" i="51"/>
  <c r="L95" i="51"/>
  <c r="L96" i="51"/>
  <c r="L97" i="51"/>
  <c r="L98" i="51"/>
  <c r="L99" i="51"/>
  <c r="L100" i="51"/>
  <c r="L101" i="51"/>
  <c r="L102" i="51"/>
  <c r="L103" i="51"/>
  <c r="L106" i="51"/>
  <c r="E3" i="51"/>
  <c r="E11" i="51"/>
  <c r="E12" i="51"/>
  <c r="K65" i="51"/>
  <c r="K66" i="51"/>
  <c r="K67" i="51"/>
  <c r="K68" i="51"/>
  <c r="K69" i="51"/>
  <c r="K70" i="51"/>
  <c r="K71" i="51"/>
  <c r="K72" i="51"/>
  <c r="K73" i="51"/>
  <c r="K74" i="51"/>
  <c r="K75" i="51"/>
  <c r="K76" i="51"/>
  <c r="K77" i="51"/>
  <c r="K78" i="51"/>
  <c r="K79" i="51"/>
  <c r="K80" i="51"/>
  <c r="K81" i="51"/>
  <c r="K82" i="51"/>
  <c r="K83" i="51"/>
  <c r="K84" i="51"/>
  <c r="K85" i="51"/>
  <c r="K86" i="51"/>
  <c r="K87" i="51"/>
  <c r="K88" i="51"/>
  <c r="K89" i="51"/>
  <c r="K90" i="51"/>
  <c r="K91" i="51"/>
  <c r="K92" i="51"/>
  <c r="K93" i="51"/>
  <c r="K94" i="51"/>
  <c r="K106" i="51"/>
  <c r="D3" i="51"/>
  <c r="B67" i="51"/>
  <c r="F60" i="51"/>
  <c r="B58" i="51"/>
  <c r="D58" i="51"/>
  <c r="D55" i="51"/>
  <c r="B52" i="51"/>
  <c r="C52" i="51"/>
  <c r="E52" i="51"/>
  <c r="B51" i="51"/>
  <c r="C51" i="51"/>
  <c r="E51" i="51"/>
  <c r="B50" i="51"/>
  <c r="C50" i="51"/>
  <c r="C43" i="51"/>
  <c r="B39" i="51"/>
  <c r="B38" i="51"/>
  <c r="B37" i="51"/>
  <c r="B36" i="51"/>
  <c r="B35" i="51"/>
  <c r="B34" i="51"/>
  <c r="B33" i="51"/>
  <c r="B32" i="51"/>
  <c r="B31" i="51"/>
  <c r="B30" i="51"/>
  <c r="B29" i="51"/>
  <c r="B41" i="51"/>
  <c r="D41" i="51"/>
  <c r="D25" i="51"/>
  <c r="F25" i="51"/>
  <c r="D24" i="51"/>
  <c r="F24" i="51"/>
  <c r="D23" i="51"/>
  <c r="F23" i="51"/>
  <c r="D22" i="51"/>
  <c r="F22" i="51"/>
  <c r="E20" i="51"/>
  <c r="F11" i="51"/>
  <c r="F12" i="51"/>
  <c r="H11" i="51"/>
  <c r="H12" i="51"/>
  <c r="G11" i="51"/>
  <c r="G12" i="51"/>
  <c r="J6" i="51"/>
  <c r="J5" i="51"/>
  <c r="R4" i="51"/>
  <c r="R3" i="51"/>
  <c r="R2" i="51"/>
  <c r="R5" i="51"/>
  <c r="K65" i="50"/>
  <c r="K66" i="50"/>
  <c r="K67" i="50"/>
  <c r="K68" i="50"/>
  <c r="K69" i="50"/>
  <c r="K70" i="50"/>
  <c r="K71" i="50"/>
  <c r="K72" i="50"/>
  <c r="K73" i="50"/>
  <c r="K74" i="50"/>
  <c r="K75" i="50"/>
  <c r="K76" i="50"/>
  <c r="K77" i="50"/>
  <c r="K78" i="50"/>
  <c r="K79" i="50"/>
  <c r="K80" i="50"/>
  <c r="K81" i="50"/>
  <c r="K82" i="50"/>
  <c r="K83" i="50"/>
  <c r="K84" i="50"/>
  <c r="K85" i="50"/>
  <c r="K86" i="50"/>
  <c r="K87" i="50"/>
  <c r="K88" i="50"/>
  <c r="K89" i="50"/>
  <c r="K90" i="50"/>
  <c r="K91" i="50"/>
  <c r="K92" i="50"/>
  <c r="K93" i="50"/>
  <c r="K94" i="50"/>
  <c r="K106" i="50"/>
  <c r="L65" i="50"/>
  <c r="L66" i="50"/>
  <c r="L67" i="50"/>
  <c r="L68" i="50"/>
  <c r="L69" i="50"/>
  <c r="L70" i="50"/>
  <c r="L71" i="50"/>
  <c r="L72" i="50"/>
  <c r="L73" i="50"/>
  <c r="L74" i="50"/>
  <c r="L75" i="50"/>
  <c r="L76" i="50"/>
  <c r="L77" i="50"/>
  <c r="L78" i="50"/>
  <c r="L79" i="50"/>
  <c r="L80" i="50"/>
  <c r="L81" i="50"/>
  <c r="L82" i="50"/>
  <c r="L83" i="50"/>
  <c r="L84" i="50"/>
  <c r="L85" i="50"/>
  <c r="L86" i="50"/>
  <c r="L87" i="50"/>
  <c r="L88" i="50"/>
  <c r="L89" i="50"/>
  <c r="L90" i="50"/>
  <c r="L91" i="50"/>
  <c r="L92" i="50"/>
  <c r="L93" i="50"/>
  <c r="L94" i="50"/>
  <c r="L95" i="50"/>
  <c r="L96" i="50"/>
  <c r="L97" i="50"/>
  <c r="L98" i="50"/>
  <c r="L99" i="50"/>
  <c r="L100" i="50"/>
  <c r="L101" i="50"/>
  <c r="L102" i="50"/>
  <c r="L103" i="50"/>
  <c r="L106" i="50"/>
  <c r="D3" i="50"/>
  <c r="D3" i="52"/>
  <c r="D11" i="52"/>
  <c r="D12" i="52"/>
  <c r="L106" i="52"/>
  <c r="E3" i="52"/>
  <c r="E11" i="52"/>
  <c r="E12" i="52"/>
  <c r="B16" i="52"/>
  <c r="C41" i="52"/>
  <c r="D41" i="52"/>
  <c r="R7" i="52"/>
  <c r="S5" i="52"/>
  <c r="S7" i="52"/>
  <c r="L9" i="52"/>
  <c r="L10" i="52"/>
  <c r="E53" i="52"/>
  <c r="D60" i="52"/>
  <c r="F61" i="52"/>
  <c r="C53" i="52"/>
  <c r="C53" i="51"/>
  <c r="E50" i="51"/>
  <c r="E53" i="51"/>
  <c r="D60" i="51"/>
  <c r="F61" i="51"/>
  <c r="F26" i="51"/>
  <c r="S5" i="51"/>
  <c r="S7" i="51"/>
  <c r="L9" i="51"/>
  <c r="L10" i="51"/>
  <c r="R7" i="51"/>
  <c r="B67" i="50"/>
  <c r="F60" i="50"/>
  <c r="B58" i="50"/>
  <c r="D58" i="50"/>
  <c r="D55" i="50"/>
  <c r="B52" i="50"/>
  <c r="C52" i="50"/>
  <c r="E52" i="50"/>
  <c r="B51" i="50"/>
  <c r="C51" i="50"/>
  <c r="E51" i="50"/>
  <c r="B50" i="50"/>
  <c r="C50" i="50"/>
  <c r="C43" i="50"/>
  <c r="B39" i="50"/>
  <c r="B38" i="50"/>
  <c r="B37" i="50"/>
  <c r="B36" i="50"/>
  <c r="B35" i="50"/>
  <c r="B34" i="50"/>
  <c r="B33" i="50"/>
  <c r="B32" i="50"/>
  <c r="B31" i="50"/>
  <c r="B30" i="50"/>
  <c r="B29" i="50"/>
  <c r="D25" i="50"/>
  <c r="F25" i="50"/>
  <c r="D24" i="50"/>
  <c r="F24" i="50"/>
  <c r="D23" i="50"/>
  <c r="F23" i="50"/>
  <c r="D22" i="50"/>
  <c r="F22" i="50"/>
  <c r="E20" i="50"/>
  <c r="H11" i="50"/>
  <c r="H12" i="50"/>
  <c r="G11" i="50"/>
  <c r="G12" i="50"/>
  <c r="F11" i="50"/>
  <c r="F12" i="50"/>
  <c r="E11" i="50"/>
  <c r="E12" i="50"/>
  <c r="J6" i="50"/>
  <c r="J5" i="50"/>
  <c r="R4" i="50"/>
  <c r="R3" i="50"/>
  <c r="R2" i="50"/>
  <c r="B67" i="43"/>
  <c r="J4" i="52"/>
  <c r="J7" i="52"/>
  <c r="M4" i="52"/>
  <c r="D11" i="51"/>
  <c r="C41" i="51"/>
  <c r="R5" i="50"/>
  <c r="R7" i="50"/>
  <c r="B41" i="50"/>
  <c r="D41" i="50"/>
  <c r="C53" i="50"/>
  <c r="F26" i="50"/>
  <c r="H26" i="50"/>
  <c r="E50" i="50"/>
  <c r="E53" i="50"/>
  <c r="D60" i="50"/>
  <c r="F61" i="50"/>
  <c r="J162" i="49"/>
  <c r="G162" i="49"/>
  <c r="K162" i="49"/>
  <c r="J161" i="49"/>
  <c r="G161" i="49"/>
  <c r="K161" i="49"/>
  <c r="L161" i="49"/>
  <c r="M161" i="49"/>
  <c r="N161" i="49"/>
  <c r="A161" i="49"/>
  <c r="A162" i="49"/>
  <c r="Q58" i="49"/>
  <c r="J56" i="49"/>
  <c r="G56" i="49"/>
  <c r="J55" i="49"/>
  <c r="G55" i="49"/>
  <c r="K55" i="49"/>
  <c r="J54" i="49"/>
  <c r="G54" i="49"/>
  <c r="K54" i="49"/>
  <c r="J53" i="49"/>
  <c r="G53" i="49"/>
  <c r="J52" i="49"/>
  <c r="G52" i="49"/>
  <c r="K52" i="49"/>
  <c r="L52" i="49"/>
  <c r="Z50" i="49"/>
  <c r="Y50" i="49"/>
  <c r="X50" i="49"/>
  <c r="W50" i="49"/>
  <c r="U50" i="49"/>
  <c r="Z49" i="49"/>
  <c r="AC49" i="49"/>
  <c r="Y49" i="49"/>
  <c r="X49" i="49"/>
  <c r="W49" i="49"/>
  <c r="U49" i="49"/>
  <c r="J49" i="49"/>
  <c r="G49" i="49"/>
  <c r="K49" i="49"/>
  <c r="J46" i="49"/>
  <c r="G46" i="49"/>
  <c r="J45" i="49"/>
  <c r="G45" i="49"/>
  <c r="D3" i="43"/>
  <c r="D4" i="43"/>
  <c r="D5" i="43"/>
  <c r="D6" i="43"/>
  <c r="D7" i="43"/>
  <c r="D8" i="43"/>
  <c r="D9" i="43"/>
  <c r="D10" i="43"/>
  <c r="D11" i="43"/>
  <c r="E9" i="43"/>
  <c r="G11" i="43"/>
  <c r="J4" i="43"/>
  <c r="J5" i="43"/>
  <c r="J6" i="43"/>
  <c r="J7" i="43"/>
  <c r="M4" i="43"/>
  <c r="O4" i="43"/>
  <c r="M3" i="43"/>
  <c r="O3" i="43"/>
  <c r="B50" i="43"/>
  <c r="C50" i="43"/>
  <c r="B51" i="43"/>
  <c r="C51" i="43"/>
  <c r="B52" i="43"/>
  <c r="C52" i="43"/>
  <c r="C53" i="43"/>
  <c r="B58" i="43"/>
  <c r="D58" i="43"/>
  <c r="D55" i="43"/>
  <c r="E50" i="43"/>
  <c r="E51" i="43"/>
  <c r="E52" i="43"/>
  <c r="E53" i="43"/>
  <c r="D60" i="43"/>
  <c r="F60" i="43"/>
  <c r="F61" i="43"/>
  <c r="M6" i="43"/>
  <c r="R2" i="43"/>
  <c r="R3" i="43"/>
  <c r="R4" i="43"/>
  <c r="R5" i="43"/>
  <c r="S5" i="43"/>
  <c r="C43" i="43"/>
  <c r="S7" i="43"/>
  <c r="L9" i="43"/>
  <c r="L10" i="43"/>
  <c r="R7" i="43"/>
  <c r="E20" i="43"/>
  <c r="D22" i="43"/>
  <c r="F22" i="43"/>
  <c r="D23" i="43"/>
  <c r="F23" i="43"/>
  <c r="D24" i="43"/>
  <c r="F24" i="43"/>
  <c r="D25" i="43"/>
  <c r="F25" i="43"/>
  <c r="B29" i="43"/>
  <c r="B30" i="43"/>
  <c r="B31" i="43"/>
  <c r="B32" i="43"/>
  <c r="B33" i="43"/>
  <c r="B34" i="43"/>
  <c r="B35" i="43"/>
  <c r="B36" i="43"/>
  <c r="B37" i="43"/>
  <c r="B38" i="43"/>
  <c r="B39" i="43"/>
  <c r="B41" i="43"/>
  <c r="D41" i="43"/>
  <c r="O4" i="52"/>
  <c r="N4" i="52"/>
  <c r="M3" i="52"/>
  <c r="M6" i="52"/>
  <c r="M5" i="52"/>
  <c r="J4" i="51"/>
  <c r="D12" i="51"/>
  <c r="B16" i="51"/>
  <c r="S5" i="50"/>
  <c r="S7" i="50"/>
  <c r="L9" i="50"/>
  <c r="L10" i="50"/>
  <c r="C41" i="50"/>
  <c r="D11" i="50"/>
  <c r="H79" i="50"/>
  <c r="L55" i="49"/>
  <c r="M55" i="49"/>
  <c r="N55" i="49"/>
  <c r="O55" i="49"/>
  <c r="K45" i="49"/>
  <c r="L45" i="49"/>
  <c r="M45" i="49"/>
  <c r="N45" i="49"/>
  <c r="K46" i="49"/>
  <c r="L46" i="49"/>
  <c r="M46" i="49"/>
  <c r="N46" i="49"/>
  <c r="O46" i="49"/>
  <c r="K53" i="49"/>
  <c r="K56" i="49"/>
  <c r="L56" i="49"/>
  <c r="AB49" i="49"/>
  <c r="L54" i="49"/>
  <c r="O161" i="49"/>
  <c r="L162" i="49"/>
  <c r="M162" i="49"/>
  <c r="N162" i="49"/>
  <c r="O162" i="49"/>
  <c r="M54" i="49"/>
  <c r="N54" i="49"/>
  <c r="O54" i="49"/>
  <c r="AC50" i="49"/>
  <c r="AB50" i="49"/>
  <c r="M52" i="49"/>
  <c r="N52" i="49"/>
  <c r="L49" i="49"/>
  <c r="M49" i="49"/>
  <c r="N49" i="49"/>
  <c r="O6" i="43"/>
  <c r="N6" i="43"/>
  <c r="M5" i="43"/>
  <c r="F26" i="43"/>
  <c r="H26" i="43"/>
  <c r="C41" i="43"/>
  <c r="G12" i="43"/>
  <c r="E11" i="43"/>
  <c r="O6" i="52"/>
  <c r="N6" i="52"/>
  <c r="O3" i="52"/>
  <c r="N3" i="52"/>
  <c r="O5" i="52"/>
  <c r="N5" i="52"/>
  <c r="J7" i="51"/>
  <c r="M4" i="51"/>
  <c r="D12" i="50"/>
  <c r="B16" i="50"/>
  <c r="J4" i="50"/>
  <c r="J7" i="50"/>
  <c r="M4" i="50"/>
  <c r="N4" i="50"/>
  <c r="L53" i="49"/>
  <c r="M53" i="49"/>
  <c r="N53" i="49"/>
  <c r="M56" i="49"/>
  <c r="N56" i="49"/>
  <c r="O56" i="49"/>
  <c r="N163" i="49"/>
  <c r="N50" i="49"/>
  <c r="P50" i="49"/>
  <c r="O49" i="49"/>
  <c r="O45" i="49"/>
  <c r="N47" i="49"/>
  <c r="P47" i="49"/>
  <c r="O52" i="49"/>
  <c r="N4" i="43"/>
  <c r="N3" i="43"/>
  <c r="N5" i="43"/>
  <c r="O5" i="43"/>
  <c r="O4" i="51"/>
  <c r="N4" i="51"/>
  <c r="M3" i="51"/>
  <c r="M5" i="51"/>
  <c r="M6" i="51"/>
  <c r="M6" i="50"/>
  <c r="O6" i="50"/>
  <c r="M3" i="50"/>
  <c r="O4" i="50"/>
  <c r="M5" i="50"/>
  <c r="O5" i="50"/>
  <c r="N6" i="50"/>
  <c r="O3" i="50"/>
  <c r="N3" i="50"/>
  <c r="O53" i="49"/>
  <c r="N57" i="49"/>
  <c r="P57" i="49"/>
  <c r="P58" i="49"/>
  <c r="C58" i="49"/>
  <c r="O5" i="51"/>
  <c r="N5" i="51"/>
  <c r="O6" i="51"/>
  <c r="N6" i="51"/>
  <c r="O3" i="51"/>
  <c r="N3" i="51"/>
  <c r="N5" i="50"/>
  <c r="J67" i="42"/>
  <c r="J53" i="42"/>
  <c r="J52" i="42"/>
  <c r="H11" i="43"/>
  <c r="H12" i="43"/>
  <c r="D12" i="43"/>
  <c r="K67" i="42"/>
  <c r="L67" i="42"/>
  <c r="M67" i="42"/>
  <c r="K53" i="42"/>
  <c r="L53" i="42"/>
  <c r="K52" i="42"/>
  <c r="L52" i="42"/>
  <c r="M52" i="42"/>
  <c r="N52" i="42"/>
  <c r="F11" i="43"/>
  <c r="F12" i="43"/>
  <c r="E12" i="43"/>
  <c r="J66" i="42"/>
  <c r="B16" i="43"/>
  <c r="N67" i="42"/>
  <c r="O67" i="42"/>
  <c r="T67" i="42"/>
  <c r="O52" i="42"/>
  <c r="T52" i="42"/>
  <c r="M53" i="42"/>
  <c r="N53" i="42"/>
  <c r="K66" i="42"/>
  <c r="L66" i="42"/>
  <c r="M66" i="42"/>
  <c r="N66" i="42"/>
  <c r="T66" i="42"/>
  <c r="O53" i="42"/>
  <c r="T53" i="42"/>
  <c r="N68" i="42"/>
  <c r="P68" i="42"/>
  <c r="O66" i="42"/>
  <c r="N54" i="42"/>
  <c r="AC54" i="42"/>
  <c r="AF54" i="42"/>
  <c r="AB54" i="42"/>
  <c r="AA54" i="42"/>
  <c r="Z54" i="42"/>
  <c r="X54" i="42"/>
  <c r="AE54" i="42"/>
  <c r="J45" i="42"/>
  <c r="P54" i="42"/>
  <c r="J46" i="42"/>
  <c r="G46" i="42"/>
  <c r="S46" i="42"/>
  <c r="K46" i="42"/>
  <c r="L46" i="42"/>
  <c r="M46" i="42"/>
  <c r="N46" i="42"/>
  <c r="T46" i="42"/>
  <c r="O46" i="42"/>
  <c r="A166" i="42"/>
  <c r="A167" i="42"/>
  <c r="F29" i="19"/>
  <c r="F30" i="19"/>
  <c r="F28" i="19"/>
  <c r="D31" i="19"/>
  <c r="B5" i="19"/>
  <c r="B20" i="19"/>
  <c r="B17" i="19"/>
  <c r="B11" i="19"/>
  <c r="K30" i="12"/>
  <c r="J30" i="12"/>
  <c r="H30" i="12"/>
  <c r="L30" i="12"/>
  <c r="K91" i="12"/>
  <c r="J91" i="12"/>
  <c r="H91" i="12"/>
  <c r="I91" i="12"/>
  <c r="M30" i="12"/>
  <c r="I30" i="12"/>
  <c r="L91" i="12"/>
  <c r="M91" i="12"/>
  <c r="K131" i="12"/>
  <c r="J131" i="12"/>
  <c r="H131" i="12"/>
  <c r="L131" i="12"/>
  <c r="K129" i="12"/>
  <c r="J129" i="12"/>
  <c r="H129" i="12"/>
  <c r="L129" i="12"/>
  <c r="K128" i="12"/>
  <c r="J128" i="12"/>
  <c r="H128" i="12"/>
  <c r="K127" i="12"/>
  <c r="J127" i="12"/>
  <c r="H127" i="12"/>
  <c r="I127" i="12"/>
  <c r="K126" i="12"/>
  <c r="J126" i="12"/>
  <c r="H126" i="12"/>
  <c r="L126" i="12"/>
  <c r="K124" i="12"/>
  <c r="J124" i="12"/>
  <c r="H124" i="12"/>
  <c r="L124" i="12"/>
  <c r="K123" i="12"/>
  <c r="J123" i="12"/>
  <c r="H123" i="12"/>
  <c r="L123" i="12"/>
  <c r="B123" i="12"/>
  <c r="B124" i="12"/>
  <c r="B126" i="12"/>
  <c r="B127" i="12"/>
  <c r="B128" i="12"/>
  <c r="B129" i="12"/>
  <c r="B131" i="12"/>
  <c r="K122" i="12"/>
  <c r="J122" i="12"/>
  <c r="H122" i="12"/>
  <c r="I122" i="12"/>
  <c r="K118" i="12"/>
  <c r="J118" i="12"/>
  <c r="H118" i="12"/>
  <c r="I118" i="12"/>
  <c r="K117" i="12"/>
  <c r="J117" i="12"/>
  <c r="H117" i="12"/>
  <c r="L117" i="12"/>
  <c r="K116" i="12"/>
  <c r="J116" i="12"/>
  <c r="H116" i="12"/>
  <c r="L116" i="12"/>
  <c r="K115" i="12"/>
  <c r="J115" i="12"/>
  <c r="H115" i="12"/>
  <c r="L115" i="12"/>
  <c r="K114" i="12"/>
  <c r="J114" i="12"/>
  <c r="H114" i="12"/>
  <c r="I114" i="12"/>
  <c r="K112" i="12"/>
  <c r="J112" i="12"/>
  <c r="H112" i="12"/>
  <c r="L112" i="12"/>
  <c r="K111" i="12"/>
  <c r="J111" i="12"/>
  <c r="H111" i="12"/>
  <c r="I111" i="12"/>
  <c r="K110" i="12"/>
  <c r="J110" i="12"/>
  <c r="H110" i="12"/>
  <c r="L110" i="12"/>
  <c r="K109" i="12"/>
  <c r="J109" i="12"/>
  <c r="H109" i="12"/>
  <c r="I109" i="12"/>
  <c r="K108" i="12"/>
  <c r="J108" i="12"/>
  <c r="H108" i="12"/>
  <c r="L108" i="12"/>
  <c r="K107" i="12"/>
  <c r="J107" i="12"/>
  <c r="H107" i="12"/>
  <c r="I107" i="12"/>
  <c r="K105" i="12"/>
  <c r="J105" i="12"/>
  <c r="H105" i="12"/>
  <c r="L105" i="12"/>
  <c r="B105" i="12"/>
  <c r="B107" i="12"/>
  <c r="B108" i="12"/>
  <c r="B109" i="12"/>
  <c r="B110" i="12"/>
  <c r="B111" i="12"/>
  <c r="B112" i="12"/>
  <c r="B114" i="12"/>
  <c r="B115" i="12"/>
  <c r="B116" i="12"/>
  <c r="B117" i="12"/>
  <c r="B118" i="12"/>
  <c r="K104" i="12"/>
  <c r="J104" i="12"/>
  <c r="H104" i="12"/>
  <c r="I104" i="12"/>
  <c r="K100" i="12"/>
  <c r="J100" i="12"/>
  <c r="H100" i="12"/>
  <c r="I100" i="12"/>
  <c r="K99" i="12"/>
  <c r="J99" i="12"/>
  <c r="H99" i="12"/>
  <c r="L99" i="12"/>
  <c r="K98" i="12"/>
  <c r="J98" i="12"/>
  <c r="H98" i="12"/>
  <c r="I98" i="12"/>
  <c r="K97" i="12"/>
  <c r="J97" i="12"/>
  <c r="H97" i="12"/>
  <c r="L97" i="12"/>
  <c r="K96" i="12"/>
  <c r="J96" i="12"/>
  <c r="H96" i="12"/>
  <c r="I96" i="12"/>
  <c r="K95" i="12"/>
  <c r="J95" i="12"/>
  <c r="H95" i="12"/>
  <c r="L95" i="12"/>
  <c r="K94" i="12"/>
  <c r="J94" i="12"/>
  <c r="H94" i="12"/>
  <c r="I94" i="12"/>
  <c r="K93" i="12"/>
  <c r="J93" i="12"/>
  <c r="H93" i="12"/>
  <c r="L93" i="12"/>
  <c r="K92" i="12"/>
  <c r="J92" i="12"/>
  <c r="H92" i="12"/>
  <c r="I92" i="12"/>
  <c r="B92" i="12"/>
  <c r="B93" i="12"/>
  <c r="B94" i="12"/>
  <c r="B95" i="12"/>
  <c r="B96" i="12"/>
  <c r="B97" i="12"/>
  <c r="B98" i="12"/>
  <c r="B99" i="12"/>
  <c r="B100" i="12"/>
  <c r="K90" i="12"/>
  <c r="J90" i="12"/>
  <c r="H90" i="12"/>
  <c r="L90" i="12"/>
  <c r="K87" i="12"/>
  <c r="J87" i="12"/>
  <c r="H87" i="12"/>
  <c r="L87" i="12"/>
  <c r="K86" i="12"/>
  <c r="J86" i="12"/>
  <c r="H86" i="12"/>
  <c r="L86" i="12"/>
  <c r="K85" i="12"/>
  <c r="J85" i="12"/>
  <c r="H85" i="12"/>
  <c r="L85" i="12"/>
  <c r="K82" i="12"/>
  <c r="J82" i="12"/>
  <c r="H82" i="12"/>
  <c r="L82" i="12"/>
  <c r="K81" i="12"/>
  <c r="J81" i="12"/>
  <c r="H81" i="12"/>
  <c r="I81" i="12"/>
  <c r="K80" i="12"/>
  <c r="J80" i="12"/>
  <c r="H80" i="12"/>
  <c r="L80" i="12"/>
  <c r="K79" i="12"/>
  <c r="J79" i="12"/>
  <c r="H79" i="12"/>
  <c r="I79" i="12"/>
  <c r="K78" i="12"/>
  <c r="J78" i="12"/>
  <c r="H78" i="12"/>
  <c r="L78" i="12"/>
  <c r="K77" i="12"/>
  <c r="J77" i="12"/>
  <c r="H77" i="12"/>
  <c r="I77" i="12"/>
  <c r="K76" i="12"/>
  <c r="J76" i="12"/>
  <c r="H76" i="12"/>
  <c r="L76" i="12"/>
  <c r="K75" i="12"/>
  <c r="J75" i="12"/>
  <c r="H75" i="12"/>
  <c r="I75" i="12"/>
  <c r="K74" i="12"/>
  <c r="J74" i="12"/>
  <c r="H74" i="12"/>
  <c r="L74" i="12"/>
  <c r="B74" i="12"/>
  <c r="B75" i="12"/>
  <c r="B76" i="12"/>
  <c r="B77" i="12"/>
  <c r="B78" i="12"/>
  <c r="B79" i="12"/>
  <c r="B80" i="12"/>
  <c r="B81" i="12"/>
  <c r="B82" i="12"/>
  <c r="K73" i="12"/>
  <c r="J73" i="12"/>
  <c r="H73" i="12"/>
  <c r="I73" i="12"/>
  <c r="K70" i="12"/>
  <c r="J70" i="12"/>
  <c r="H70" i="12"/>
  <c r="I70" i="12"/>
  <c r="K69" i="12"/>
  <c r="J69" i="12"/>
  <c r="H69" i="12"/>
  <c r="I69" i="12"/>
  <c r="K68" i="12"/>
  <c r="J68" i="12"/>
  <c r="H68" i="12"/>
  <c r="I68" i="12"/>
  <c r="K65" i="12"/>
  <c r="J65" i="12"/>
  <c r="H65" i="12"/>
  <c r="I65" i="12"/>
  <c r="K64" i="12"/>
  <c r="J64" i="12"/>
  <c r="H64" i="12"/>
  <c r="L64" i="12"/>
  <c r="K63" i="12"/>
  <c r="J63" i="12"/>
  <c r="H63" i="12"/>
  <c r="I63" i="12"/>
  <c r="K62" i="12"/>
  <c r="J62" i="12"/>
  <c r="H62" i="12"/>
  <c r="L62" i="12"/>
  <c r="K61" i="12"/>
  <c r="J61" i="12"/>
  <c r="H61" i="12"/>
  <c r="I61" i="12"/>
  <c r="K60" i="12"/>
  <c r="J60" i="12"/>
  <c r="H60" i="12"/>
  <c r="L60" i="12"/>
  <c r="K59" i="12"/>
  <c r="J59" i="12"/>
  <c r="H59" i="12"/>
  <c r="I59" i="12"/>
  <c r="K58" i="12"/>
  <c r="J58" i="12"/>
  <c r="H58" i="12"/>
  <c r="L58" i="12"/>
  <c r="K57" i="12"/>
  <c r="J57" i="12"/>
  <c r="H57" i="12"/>
  <c r="I57" i="12"/>
  <c r="K55" i="12"/>
  <c r="J55" i="12"/>
  <c r="H55" i="12"/>
  <c r="L55" i="12"/>
  <c r="K54" i="12"/>
  <c r="J54" i="12"/>
  <c r="H54" i="12"/>
  <c r="I54" i="12"/>
  <c r="K53" i="12"/>
  <c r="J53" i="12"/>
  <c r="H53" i="12"/>
  <c r="L53" i="12"/>
  <c r="K52" i="12"/>
  <c r="J52" i="12"/>
  <c r="H52" i="12"/>
  <c r="I52" i="12"/>
  <c r="K51" i="12"/>
  <c r="J51" i="12"/>
  <c r="H51" i="12"/>
  <c r="L51" i="12"/>
  <c r="K50" i="12"/>
  <c r="J50" i="12"/>
  <c r="H50" i="12"/>
  <c r="I50" i="12"/>
  <c r="K49" i="12"/>
  <c r="J49" i="12"/>
  <c r="H49" i="12"/>
  <c r="L49" i="12"/>
  <c r="K48" i="12"/>
  <c r="J48" i="12"/>
  <c r="H48" i="12"/>
  <c r="I48" i="12"/>
  <c r="B48" i="12"/>
  <c r="B49" i="12"/>
  <c r="B50" i="12"/>
  <c r="B51" i="12"/>
  <c r="B52" i="12"/>
  <c r="B53" i="12"/>
  <c r="B54" i="12"/>
  <c r="B55" i="12"/>
  <c r="B57" i="12"/>
  <c r="B58" i="12"/>
  <c r="B59" i="12"/>
  <c r="B60" i="12"/>
  <c r="B61" i="12"/>
  <c r="B62" i="12"/>
  <c r="B63" i="12"/>
  <c r="B64" i="12"/>
  <c r="B65" i="12"/>
  <c r="K47" i="12"/>
  <c r="J47" i="12"/>
  <c r="H47" i="12"/>
  <c r="L47" i="12"/>
  <c r="K43" i="12"/>
  <c r="J43" i="12"/>
  <c r="H43" i="12"/>
  <c r="L43" i="12"/>
  <c r="K42" i="12"/>
  <c r="J42" i="12"/>
  <c r="H42" i="12"/>
  <c r="I42" i="12"/>
  <c r="K41" i="12"/>
  <c r="J41" i="12"/>
  <c r="H41" i="12"/>
  <c r="L41" i="12"/>
  <c r="K40" i="12"/>
  <c r="J40" i="12"/>
  <c r="H40" i="12"/>
  <c r="I40" i="12"/>
  <c r="K39" i="12"/>
  <c r="J39" i="12"/>
  <c r="H39" i="12"/>
  <c r="L39" i="12"/>
  <c r="B39" i="12"/>
  <c r="B40" i="12"/>
  <c r="B41" i="12"/>
  <c r="B42" i="12"/>
  <c r="B43" i="12"/>
  <c r="K38" i="12"/>
  <c r="J38" i="12"/>
  <c r="H38" i="12"/>
  <c r="I38" i="12"/>
  <c r="K35" i="12"/>
  <c r="J35" i="12"/>
  <c r="H35" i="12"/>
  <c r="I35" i="12"/>
  <c r="K34" i="12"/>
  <c r="J34" i="12"/>
  <c r="H34" i="12"/>
  <c r="L34" i="12"/>
  <c r="K33" i="12"/>
  <c r="J33" i="12"/>
  <c r="H33" i="12"/>
  <c r="I33" i="12"/>
  <c r="K32" i="12"/>
  <c r="J32" i="12"/>
  <c r="H32" i="12"/>
  <c r="L32" i="12"/>
  <c r="K31" i="12"/>
  <c r="J31" i="12"/>
  <c r="H31" i="12"/>
  <c r="I31" i="12"/>
  <c r="B31" i="12"/>
  <c r="B32" i="12"/>
  <c r="B33" i="12"/>
  <c r="B34" i="12"/>
  <c r="B35" i="12"/>
  <c r="K29" i="12"/>
  <c r="J29" i="12"/>
  <c r="H29" i="12"/>
  <c r="L29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M131" i="12"/>
  <c r="I95" i="12"/>
  <c r="M86" i="12"/>
  <c r="M93" i="12"/>
  <c r="I43" i="12"/>
  <c r="I47" i="12"/>
  <c r="I108" i="12"/>
  <c r="M105" i="12"/>
  <c r="M108" i="12"/>
  <c r="M129" i="12"/>
  <c r="L79" i="12"/>
  <c r="M79" i="12"/>
  <c r="M115" i="12"/>
  <c r="I53" i="12"/>
  <c r="I86" i="12"/>
  <c r="I93" i="12"/>
  <c r="I85" i="12"/>
  <c r="I87" i="12"/>
  <c r="I90" i="12"/>
  <c r="I105" i="12"/>
  <c r="I115" i="12"/>
  <c r="I116" i="12"/>
  <c r="I117" i="12"/>
  <c r="I129" i="12"/>
  <c r="I131" i="12"/>
  <c r="M51" i="12"/>
  <c r="I62" i="12"/>
  <c r="M78" i="12"/>
  <c r="I99" i="12"/>
  <c r="I112" i="12"/>
  <c r="I123" i="12"/>
  <c r="I124" i="12"/>
  <c r="I126" i="12"/>
  <c r="M47" i="12"/>
  <c r="M60" i="12"/>
  <c r="I97" i="12"/>
  <c r="I110" i="12"/>
  <c r="L118" i="12"/>
  <c r="M118" i="12"/>
  <c r="L122" i="12"/>
  <c r="M122" i="12"/>
  <c r="M32" i="12"/>
  <c r="I34" i="12"/>
  <c r="I49" i="12"/>
  <c r="I51" i="12"/>
  <c r="I60" i="12"/>
  <c r="M76" i="12"/>
  <c r="M80" i="12"/>
  <c r="I82" i="12"/>
  <c r="M123" i="12"/>
  <c r="L31" i="12"/>
  <c r="M31" i="12"/>
  <c r="M55" i="12"/>
  <c r="I58" i="12"/>
  <c r="M64" i="12"/>
  <c r="I76" i="12"/>
  <c r="I78" i="12"/>
  <c r="I80" i="12"/>
  <c r="M97" i="12"/>
  <c r="M110" i="12"/>
  <c r="I32" i="12"/>
  <c r="M43" i="12"/>
  <c r="M49" i="12"/>
  <c r="L50" i="12"/>
  <c r="M50" i="12"/>
  <c r="I55" i="12"/>
  <c r="I64" i="12"/>
  <c r="I74" i="12"/>
  <c r="M90" i="12"/>
  <c r="I29" i="12"/>
  <c r="M29" i="12"/>
  <c r="I41" i="12"/>
  <c r="M39" i="12"/>
  <c r="I39" i="12"/>
  <c r="M41" i="12"/>
  <c r="L42" i="12"/>
  <c r="M42" i="12"/>
  <c r="M53" i="12"/>
  <c r="L54" i="12"/>
  <c r="M54" i="12"/>
  <c r="M82" i="12"/>
  <c r="L92" i="12"/>
  <c r="M92" i="12"/>
  <c r="L109" i="12"/>
  <c r="M109" i="12"/>
  <c r="M112" i="12"/>
  <c r="M124" i="12"/>
  <c r="I128" i="12"/>
  <c r="L128" i="12"/>
  <c r="M128" i="12"/>
  <c r="M58" i="12"/>
  <c r="L59" i="12"/>
  <c r="M59" i="12"/>
  <c r="M85" i="12"/>
  <c r="M95" i="12"/>
  <c r="L96" i="12"/>
  <c r="M96" i="12"/>
  <c r="M99" i="12"/>
  <c r="L114" i="12"/>
  <c r="M114" i="12"/>
  <c r="M116" i="12"/>
  <c r="M126" i="12"/>
  <c r="M34" i="12"/>
  <c r="L35" i="12"/>
  <c r="M35" i="12"/>
  <c r="L38" i="12"/>
  <c r="M38" i="12"/>
  <c r="M62" i="12"/>
  <c r="L63" i="12"/>
  <c r="M63" i="12"/>
  <c r="L69" i="12"/>
  <c r="M69" i="12"/>
  <c r="M74" i="12"/>
  <c r="L75" i="12"/>
  <c r="M75" i="12"/>
  <c r="M87" i="12"/>
  <c r="L100" i="12"/>
  <c r="M100" i="12"/>
  <c r="L104" i="12"/>
  <c r="M104" i="12"/>
  <c r="M117" i="12"/>
  <c r="L127" i="12"/>
  <c r="M127" i="12"/>
  <c r="L33" i="12"/>
  <c r="M33" i="12"/>
  <c r="L40" i="12"/>
  <c r="M40" i="12"/>
  <c r="L48" i="12"/>
  <c r="M48" i="12"/>
  <c r="L52" i="12"/>
  <c r="M52" i="12"/>
  <c r="L57" i="12"/>
  <c r="M57" i="12"/>
  <c r="L61" i="12"/>
  <c r="M61" i="12"/>
  <c r="L65" i="12"/>
  <c r="M65" i="12"/>
  <c r="L68" i="12"/>
  <c r="M68" i="12"/>
  <c r="L70" i="12"/>
  <c r="M70" i="12"/>
  <c r="L73" i="12"/>
  <c r="M73" i="12"/>
  <c r="L77" i="12"/>
  <c r="M77" i="12"/>
  <c r="L81" i="12"/>
  <c r="M81" i="12"/>
  <c r="L94" i="12"/>
  <c r="M94" i="12"/>
  <c r="L98" i="12"/>
  <c r="M98" i="12"/>
  <c r="L107" i="12"/>
  <c r="M107" i="12"/>
  <c r="L111" i="12"/>
  <c r="M111" i="12"/>
  <c r="M88" i="12"/>
  <c r="O88" i="12"/>
  <c r="M71" i="12"/>
  <c r="O71" i="12"/>
  <c r="M101" i="12"/>
  <c r="O101" i="12"/>
  <c r="M66" i="12"/>
  <c r="O66" i="12"/>
  <c r="M83" i="12"/>
  <c r="O83" i="12"/>
  <c r="M119" i="12"/>
  <c r="O119" i="12"/>
  <c r="M36" i="12"/>
  <c r="O36" i="12"/>
  <c r="M132" i="12"/>
  <c r="O132" i="12"/>
  <c r="M44" i="12"/>
  <c r="O44" i="12"/>
  <c r="O134" i="12"/>
  <c r="D134" i="12"/>
  <c r="H86" i="3"/>
  <c r="H87" i="3"/>
  <c r="H88" i="3"/>
  <c r="H89" i="3"/>
  <c r="H90" i="3"/>
  <c r="H91" i="3"/>
  <c r="I91" i="3"/>
  <c r="H92" i="3"/>
  <c r="I92" i="3"/>
  <c r="H93" i="3"/>
  <c r="I93" i="3"/>
  <c r="H94" i="3"/>
  <c r="I94" i="3"/>
  <c r="H85" i="3"/>
  <c r="I85" i="3"/>
  <c r="H82" i="3"/>
  <c r="H99" i="3"/>
  <c r="H101" i="3"/>
  <c r="H102" i="3"/>
  <c r="H103" i="3"/>
  <c r="H104" i="3"/>
  <c r="H105" i="3"/>
  <c r="H106" i="3"/>
  <c r="H108" i="3"/>
  <c r="H109" i="3"/>
  <c r="H110" i="3"/>
  <c r="H111" i="3"/>
  <c r="H112" i="3"/>
  <c r="H98" i="3"/>
  <c r="B29" i="3"/>
  <c r="L99" i="3"/>
  <c r="L101" i="3"/>
  <c r="L102" i="3"/>
  <c r="L103" i="3"/>
  <c r="L104" i="3"/>
  <c r="L105" i="3"/>
  <c r="L106" i="3"/>
  <c r="L108" i="3"/>
  <c r="L109" i="3"/>
  <c r="L110" i="3"/>
  <c r="L111" i="3"/>
  <c r="L112" i="3"/>
  <c r="K99" i="3"/>
  <c r="K101" i="3"/>
  <c r="K102" i="3"/>
  <c r="K103" i="3"/>
  <c r="K104" i="3"/>
  <c r="K105" i="3"/>
  <c r="K106" i="3"/>
  <c r="K108" i="3"/>
  <c r="K109" i="3"/>
  <c r="K110" i="3"/>
  <c r="K111" i="3"/>
  <c r="K112" i="3"/>
  <c r="J99" i="3"/>
  <c r="J101" i="3"/>
  <c r="J102" i="3"/>
  <c r="J103" i="3"/>
  <c r="J104" i="3"/>
  <c r="J105" i="3"/>
  <c r="J106" i="3"/>
  <c r="J108" i="3"/>
  <c r="J109" i="3"/>
  <c r="J110" i="3"/>
  <c r="J111" i="3"/>
  <c r="J112" i="3"/>
  <c r="I99" i="3"/>
  <c r="I101" i="3"/>
  <c r="I102" i="3"/>
  <c r="I103" i="3"/>
  <c r="I104" i="3"/>
  <c r="I105" i="3"/>
  <c r="I106" i="3"/>
  <c r="I108" i="3"/>
  <c r="I109" i="3"/>
  <c r="I110" i="3"/>
  <c r="I111" i="3"/>
  <c r="I112" i="3"/>
  <c r="M99" i="3"/>
  <c r="M102" i="3"/>
  <c r="M101" i="3"/>
  <c r="M112" i="3"/>
  <c r="M111" i="3"/>
  <c r="M108" i="3"/>
  <c r="M106" i="3"/>
  <c r="M110" i="3"/>
  <c r="M109" i="3"/>
  <c r="M105" i="3"/>
  <c r="M104" i="3"/>
  <c r="M103" i="3"/>
  <c r="L82" i="3"/>
  <c r="K82" i="3"/>
  <c r="J82" i="3"/>
  <c r="I82" i="3"/>
  <c r="M82" i="3"/>
  <c r="L93" i="3"/>
  <c r="K93" i="3"/>
  <c r="J93" i="3"/>
  <c r="L91" i="3"/>
  <c r="K91" i="3"/>
  <c r="J91" i="3"/>
  <c r="L89" i="3"/>
  <c r="K89" i="3"/>
  <c r="J89" i="3"/>
  <c r="I89" i="3"/>
  <c r="L88" i="3"/>
  <c r="K88" i="3"/>
  <c r="J88" i="3"/>
  <c r="I88" i="3"/>
  <c r="K65" i="3"/>
  <c r="J65" i="3"/>
  <c r="H65" i="3"/>
  <c r="I65" i="3"/>
  <c r="K125" i="3"/>
  <c r="J125" i="3"/>
  <c r="H125" i="3"/>
  <c r="L125" i="3"/>
  <c r="H117" i="3"/>
  <c r="H118" i="3"/>
  <c r="H120" i="3"/>
  <c r="H121" i="3"/>
  <c r="H122" i="3"/>
  <c r="H123" i="3"/>
  <c r="H116" i="3"/>
  <c r="H81" i="3"/>
  <c r="H80" i="3"/>
  <c r="K69" i="3"/>
  <c r="K70" i="3"/>
  <c r="K71" i="3"/>
  <c r="K72" i="3"/>
  <c r="K73" i="3"/>
  <c r="K74" i="3"/>
  <c r="K75" i="3"/>
  <c r="K76" i="3"/>
  <c r="K77" i="3"/>
  <c r="J69" i="3"/>
  <c r="J70" i="3"/>
  <c r="J71" i="3"/>
  <c r="J72" i="3"/>
  <c r="J73" i="3"/>
  <c r="J74" i="3"/>
  <c r="J75" i="3"/>
  <c r="J76" i="3"/>
  <c r="J77" i="3"/>
  <c r="H69" i="3"/>
  <c r="L69" i="3"/>
  <c r="H70" i="3"/>
  <c r="L70" i="3"/>
  <c r="H71" i="3"/>
  <c r="L71" i="3"/>
  <c r="H72" i="3"/>
  <c r="L72" i="3"/>
  <c r="H73" i="3"/>
  <c r="L73" i="3"/>
  <c r="H74" i="3"/>
  <c r="L74" i="3"/>
  <c r="H75" i="3"/>
  <c r="L75" i="3"/>
  <c r="H76" i="3"/>
  <c r="L76" i="3"/>
  <c r="H77" i="3"/>
  <c r="L77" i="3"/>
  <c r="H68" i="3"/>
  <c r="L68" i="3"/>
  <c r="H64" i="3"/>
  <c r="K29" i="3"/>
  <c r="K30" i="3"/>
  <c r="K31" i="3"/>
  <c r="K94" i="3"/>
  <c r="J43" i="3"/>
  <c r="J44" i="3"/>
  <c r="J45" i="3"/>
  <c r="J46" i="3"/>
  <c r="J47" i="3"/>
  <c r="J48" i="3"/>
  <c r="J49" i="3"/>
  <c r="J50" i="3"/>
  <c r="J42" i="3"/>
  <c r="K43" i="3"/>
  <c r="K44" i="3"/>
  <c r="K45" i="3"/>
  <c r="K46" i="3"/>
  <c r="K47" i="3"/>
  <c r="K48" i="3"/>
  <c r="K49" i="3"/>
  <c r="K50" i="3"/>
  <c r="H63" i="3"/>
  <c r="H43" i="3"/>
  <c r="L43" i="3"/>
  <c r="H44" i="3"/>
  <c r="I44" i="3"/>
  <c r="H45" i="3"/>
  <c r="I45" i="3"/>
  <c r="H46" i="3"/>
  <c r="I46" i="3"/>
  <c r="H47" i="3"/>
  <c r="I47" i="3"/>
  <c r="H48" i="3"/>
  <c r="I48" i="3"/>
  <c r="H49" i="3"/>
  <c r="L49" i="3"/>
  <c r="H50" i="3"/>
  <c r="I50" i="3"/>
  <c r="H52" i="3"/>
  <c r="H53" i="3"/>
  <c r="H54" i="3"/>
  <c r="H55" i="3"/>
  <c r="H56" i="3"/>
  <c r="H57" i="3"/>
  <c r="H58" i="3"/>
  <c r="H59" i="3"/>
  <c r="H60" i="3"/>
  <c r="H42" i="3"/>
  <c r="H35" i="3"/>
  <c r="H36" i="3"/>
  <c r="H37" i="3"/>
  <c r="H38" i="3"/>
  <c r="H34" i="3"/>
  <c r="H29" i="3"/>
  <c r="L29" i="3"/>
  <c r="H30" i="3"/>
  <c r="L30" i="3"/>
  <c r="H31" i="3"/>
  <c r="L31" i="3"/>
  <c r="L94" i="3"/>
  <c r="H28" i="3"/>
  <c r="L28" i="3"/>
  <c r="M88" i="3"/>
  <c r="M89" i="3"/>
  <c r="M93" i="3"/>
  <c r="M125" i="3"/>
  <c r="M91" i="3"/>
  <c r="I43" i="3"/>
  <c r="L47" i="3"/>
  <c r="M47" i="3"/>
  <c r="L65" i="3"/>
  <c r="M65" i="3"/>
  <c r="M70" i="3"/>
  <c r="M76" i="3"/>
  <c r="M72" i="3"/>
  <c r="M43" i="3"/>
  <c r="M74" i="3"/>
  <c r="M75" i="3"/>
  <c r="M71" i="3"/>
  <c r="L50" i="3"/>
  <c r="M50" i="3"/>
  <c r="L46" i="3"/>
  <c r="M46" i="3"/>
  <c r="M73" i="3"/>
  <c r="M69" i="3"/>
  <c r="M77" i="3"/>
  <c r="I125" i="3"/>
  <c r="M49" i="3"/>
  <c r="L45" i="3"/>
  <c r="M45" i="3"/>
  <c r="I49" i="3"/>
  <c r="L48" i="3"/>
  <c r="M48" i="3"/>
  <c r="L44" i="3"/>
  <c r="M44" i="3"/>
  <c r="L80" i="3"/>
  <c r="K80" i="3"/>
  <c r="J80" i="3"/>
  <c r="I80" i="3"/>
  <c r="M80" i="3"/>
  <c r="L92" i="3"/>
  <c r="K92" i="3"/>
  <c r="J92" i="3"/>
  <c r="L90" i="3"/>
  <c r="K90" i="3"/>
  <c r="J90" i="3"/>
  <c r="I90" i="3"/>
  <c r="L87" i="3"/>
  <c r="K87" i="3"/>
  <c r="J87" i="3"/>
  <c r="I87" i="3"/>
  <c r="L86" i="3"/>
  <c r="K86" i="3"/>
  <c r="J86" i="3"/>
  <c r="I86" i="3"/>
  <c r="B86" i="3"/>
  <c r="B87" i="3"/>
  <c r="B88" i="3"/>
  <c r="B89" i="3"/>
  <c r="B90" i="3"/>
  <c r="B91" i="3"/>
  <c r="B92" i="3"/>
  <c r="B93" i="3"/>
  <c r="B94" i="3"/>
  <c r="L85" i="3"/>
  <c r="K85" i="3"/>
  <c r="J85" i="3"/>
  <c r="L81" i="3"/>
  <c r="K81" i="3"/>
  <c r="J81" i="3"/>
  <c r="I81" i="3"/>
  <c r="B43" i="3"/>
  <c r="M92" i="3"/>
  <c r="M90" i="3"/>
  <c r="M81" i="3"/>
  <c r="M83" i="3"/>
  <c r="O83" i="3"/>
  <c r="M86" i="3"/>
  <c r="M85" i="3"/>
  <c r="M87" i="3"/>
  <c r="J38" i="3"/>
  <c r="K38" i="3"/>
  <c r="L38" i="3"/>
  <c r="I38" i="3"/>
  <c r="J31" i="3"/>
  <c r="I31" i="3"/>
  <c r="J30" i="3"/>
  <c r="I30" i="3"/>
  <c r="B30" i="3"/>
  <c r="B31" i="3"/>
  <c r="J29" i="3"/>
  <c r="I29" i="3"/>
  <c r="M38" i="3"/>
  <c r="M29" i="3"/>
  <c r="M31" i="3"/>
  <c r="M30" i="3"/>
  <c r="L34" i="3"/>
  <c r="L35" i="3"/>
  <c r="L36" i="3"/>
  <c r="L37" i="3"/>
  <c r="L42" i="3"/>
  <c r="L52" i="3"/>
  <c r="L53" i="3"/>
  <c r="L54" i="3"/>
  <c r="L55" i="3"/>
  <c r="L56" i="3"/>
  <c r="L57" i="3"/>
  <c r="L58" i="3"/>
  <c r="L59" i="3"/>
  <c r="L60" i="3"/>
  <c r="L63" i="3"/>
  <c r="L64" i="3"/>
  <c r="L98" i="3"/>
  <c r="L116" i="3"/>
  <c r="L117" i="3"/>
  <c r="L118" i="3"/>
  <c r="L120" i="3"/>
  <c r="L121" i="3"/>
  <c r="L122" i="3"/>
  <c r="L123" i="3"/>
  <c r="K34" i="3"/>
  <c r="K35" i="3"/>
  <c r="K36" i="3"/>
  <c r="K37" i="3"/>
  <c r="K42" i="3"/>
  <c r="K52" i="3"/>
  <c r="K53" i="3"/>
  <c r="K54" i="3"/>
  <c r="K55" i="3"/>
  <c r="K56" i="3"/>
  <c r="K57" i="3"/>
  <c r="K58" i="3"/>
  <c r="K59" i="3"/>
  <c r="K60" i="3"/>
  <c r="K63" i="3"/>
  <c r="K64" i="3"/>
  <c r="K68" i="3"/>
  <c r="K98" i="3"/>
  <c r="K116" i="3"/>
  <c r="K117" i="3"/>
  <c r="K118" i="3"/>
  <c r="K120" i="3"/>
  <c r="K121" i="3"/>
  <c r="K122" i="3"/>
  <c r="K123" i="3"/>
  <c r="J94" i="3"/>
  <c r="J34" i="3"/>
  <c r="J35" i="3"/>
  <c r="J36" i="3"/>
  <c r="J37" i="3"/>
  <c r="J52" i="3"/>
  <c r="J53" i="3"/>
  <c r="J54" i="3"/>
  <c r="J55" i="3"/>
  <c r="J56" i="3"/>
  <c r="J57" i="3"/>
  <c r="J58" i="3"/>
  <c r="J59" i="3"/>
  <c r="J60" i="3"/>
  <c r="J63" i="3"/>
  <c r="J64" i="3"/>
  <c r="J68" i="3"/>
  <c r="J98" i="3"/>
  <c r="J116" i="3"/>
  <c r="J117" i="3"/>
  <c r="J118" i="3"/>
  <c r="J120" i="3"/>
  <c r="J121" i="3"/>
  <c r="J122" i="3"/>
  <c r="J123" i="3"/>
  <c r="I34" i="3"/>
  <c r="I35" i="3"/>
  <c r="I36" i="3"/>
  <c r="I37" i="3"/>
  <c r="I42" i="3"/>
  <c r="I52" i="3"/>
  <c r="I53" i="3"/>
  <c r="I54" i="3"/>
  <c r="I55" i="3"/>
  <c r="I56" i="3"/>
  <c r="I57" i="3"/>
  <c r="I58" i="3"/>
  <c r="I59" i="3"/>
  <c r="I60" i="3"/>
  <c r="I63" i="3"/>
  <c r="I64" i="3"/>
  <c r="I68" i="3"/>
  <c r="I69" i="3"/>
  <c r="I70" i="3"/>
  <c r="I71" i="3"/>
  <c r="I72" i="3"/>
  <c r="I73" i="3"/>
  <c r="I74" i="3"/>
  <c r="I75" i="3"/>
  <c r="I76" i="3"/>
  <c r="I77" i="3"/>
  <c r="I98" i="3"/>
  <c r="I116" i="3"/>
  <c r="I117" i="3"/>
  <c r="I118" i="3"/>
  <c r="I120" i="3"/>
  <c r="I121" i="3"/>
  <c r="I122" i="3"/>
  <c r="I123" i="3"/>
  <c r="I28" i="3"/>
  <c r="K28" i="3"/>
  <c r="J28" i="3"/>
  <c r="M98" i="3"/>
  <c r="M113" i="3"/>
  <c r="O113" i="3"/>
  <c r="M64" i="3"/>
  <c r="M28" i="3"/>
  <c r="M123" i="3"/>
  <c r="M37" i="3"/>
  <c r="M94" i="3"/>
  <c r="M95" i="3"/>
  <c r="O95" i="3"/>
  <c r="M118" i="3"/>
  <c r="M68" i="3"/>
  <c r="M59" i="3"/>
  <c r="M55" i="3"/>
  <c r="M120" i="3"/>
  <c r="M34" i="3"/>
  <c r="M57" i="3"/>
  <c r="M53" i="3"/>
  <c r="M35" i="3"/>
  <c r="M122" i="3"/>
  <c r="M117" i="3"/>
  <c r="M58" i="3"/>
  <c r="M54" i="3"/>
  <c r="M36" i="3"/>
  <c r="M121" i="3"/>
  <c r="M116" i="3"/>
  <c r="M63" i="3"/>
  <c r="M42" i="3"/>
  <c r="M60" i="3"/>
  <c r="M56" i="3"/>
  <c r="M52" i="3"/>
  <c r="B89" i="9"/>
  <c r="B90" i="9"/>
  <c r="B92" i="9"/>
  <c r="B93" i="9"/>
  <c r="B94" i="9"/>
  <c r="B95" i="9"/>
  <c r="M66" i="3"/>
  <c r="O66" i="3"/>
  <c r="M32" i="3"/>
  <c r="O32" i="3"/>
  <c r="M126" i="3"/>
  <c r="O126" i="3"/>
  <c r="B117" i="3"/>
  <c r="B118" i="3"/>
  <c r="B120" i="3"/>
  <c r="B121" i="3"/>
  <c r="B122" i="3"/>
  <c r="B123" i="3"/>
  <c r="B125" i="3"/>
  <c r="I33" i="9"/>
  <c r="B34" i="9"/>
  <c r="I30" i="9"/>
  <c r="B29" i="9"/>
  <c r="B30" i="9"/>
  <c r="I29" i="9"/>
  <c r="I95" i="9"/>
  <c r="G95" i="9"/>
  <c r="I94" i="9"/>
  <c r="G94" i="9"/>
  <c r="I93" i="9"/>
  <c r="G93" i="9"/>
  <c r="I92" i="9"/>
  <c r="G92" i="9"/>
  <c r="I90" i="9"/>
  <c r="I89" i="9"/>
  <c r="I88" i="9"/>
  <c r="I79" i="9"/>
  <c r="I78" i="9"/>
  <c r="I77" i="9"/>
  <c r="I76" i="9"/>
  <c r="B76" i="9"/>
  <c r="B77" i="9"/>
  <c r="B78" i="9"/>
  <c r="B79" i="9"/>
  <c r="I75" i="9"/>
  <c r="I72" i="9"/>
  <c r="I71" i="9"/>
  <c r="I70" i="9"/>
  <c r="I69" i="9"/>
  <c r="I68" i="9"/>
  <c r="I67" i="9"/>
  <c r="I66" i="9"/>
  <c r="I65" i="9"/>
  <c r="I64" i="9"/>
  <c r="B64" i="9"/>
  <c r="B65" i="9"/>
  <c r="B66" i="9"/>
  <c r="B67" i="9"/>
  <c r="B68" i="9"/>
  <c r="B69" i="9"/>
  <c r="B70" i="9"/>
  <c r="B71" i="9"/>
  <c r="B72" i="9"/>
  <c r="I63" i="9"/>
  <c r="I59" i="9"/>
  <c r="I58" i="9"/>
  <c r="I55" i="9"/>
  <c r="I54" i="9"/>
  <c r="I53" i="9"/>
  <c r="I52" i="9"/>
  <c r="I51" i="9"/>
  <c r="I50" i="9"/>
  <c r="I49" i="9"/>
  <c r="I48" i="9"/>
  <c r="I47" i="9"/>
  <c r="I45" i="9"/>
  <c r="I44" i="9"/>
  <c r="I41" i="9"/>
  <c r="I40" i="9"/>
  <c r="B40" i="9"/>
  <c r="B41" i="9"/>
  <c r="B42" i="9"/>
  <c r="B43" i="9"/>
  <c r="B44" i="9"/>
  <c r="B45" i="9"/>
  <c r="B47" i="9"/>
  <c r="B48" i="9"/>
  <c r="B49" i="9"/>
  <c r="B50" i="9"/>
  <c r="B51" i="9"/>
  <c r="B52" i="9"/>
  <c r="B53" i="9"/>
  <c r="B54" i="9"/>
  <c r="B55" i="9"/>
  <c r="I39" i="9"/>
  <c r="I35" i="9"/>
  <c r="B35" i="9"/>
  <c r="I34" i="9"/>
  <c r="I28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I60" i="9"/>
  <c r="I80" i="9"/>
  <c r="I31" i="9"/>
  <c r="I36" i="9"/>
  <c r="K72" i="9"/>
  <c r="K59" i="9"/>
  <c r="I56" i="9"/>
  <c r="K55" i="9"/>
  <c r="K84" i="9"/>
  <c r="I73" i="9"/>
  <c r="I96" i="9"/>
  <c r="I85" i="9"/>
  <c r="K95" i="9"/>
  <c r="K98" i="9"/>
  <c r="D98" i="9"/>
  <c r="M78" i="3"/>
  <c r="O78" i="3"/>
  <c r="M61" i="3"/>
  <c r="O61" i="3"/>
  <c r="M39" i="3"/>
  <c r="O39" i="3"/>
  <c r="B99" i="3"/>
  <c r="B69" i="3"/>
  <c r="B70" i="3"/>
  <c r="B71" i="3"/>
  <c r="B72" i="3"/>
  <c r="B73" i="3"/>
  <c r="B74" i="3"/>
  <c r="B75" i="3"/>
  <c r="B76" i="3"/>
  <c r="B77" i="3"/>
  <c r="B101" i="3"/>
  <c r="B102" i="3"/>
  <c r="B103" i="3"/>
  <c r="B104" i="3"/>
  <c r="B105" i="3"/>
  <c r="B106" i="3"/>
  <c r="B108" i="3"/>
  <c r="B109" i="3"/>
  <c r="B110" i="3"/>
  <c r="B111" i="3"/>
  <c r="B112" i="3"/>
  <c r="B44" i="3"/>
  <c r="B45" i="3"/>
  <c r="B46" i="3"/>
  <c r="B47" i="3"/>
  <c r="B48" i="3"/>
  <c r="B49" i="3"/>
  <c r="B50" i="3"/>
  <c r="B35" i="3"/>
  <c r="B36" i="3"/>
  <c r="B37" i="3"/>
  <c r="B38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52" i="3"/>
  <c r="B53" i="3"/>
  <c r="B54" i="3"/>
  <c r="B55" i="3"/>
  <c r="B56" i="3"/>
  <c r="B57" i="3"/>
  <c r="B58" i="3"/>
  <c r="B59" i="3"/>
  <c r="B60" i="3"/>
  <c r="F13" i="8"/>
  <c r="F12" i="8"/>
  <c r="F10" i="8"/>
  <c r="H9" i="8"/>
  <c r="F8" i="8"/>
  <c r="F7" i="8"/>
  <c r="F6" i="8"/>
  <c r="F5" i="8"/>
  <c r="F4" i="8"/>
  <c r="F3" i="8"/>
  <c r="H11" i="8"/>
  <c r="F15" i="8"/>
  <c r="H2" i="8"/>
  <c r="H15" i="8"/>
  <c r="F27" i="7"/>
  <c r="F26" i="7"/>
  <c r="F25" i="7"/>
  <c r="F23" i="7"/>
  <c r="H21" i="7"/>
  <c r="F4" i="7"/>
  <c r="F5" i="7"/>
  <c r="F6" i="7"/>
  <c r="F7" i="7"/>
  <c r="F8" i="7"/>
  <c r="F10" i="7"/>
  <c r="F11" i="7"/>
  <c r="F12" i="7"/>
  <c r="F13" i="7"/>
  <c r="F15" i="7"/>
  <c r="F16" i="7"/>
  <c r="F17" i="7"/>
  <c r="F18" i="7"/>
  <c r="F19" i="7"/>
  <c r="F20" i="7"/>
  <c r="H14" i="7"/>
  <c r="H24" i="7"/>
  <c r="H9" i="7"/>
  <c r="F3" i="7"/>
  <c r="H2" i="7"/>
  <c r="H29" i="7"/>
  <c r="F29" i="7"/>
  <c r="I40" i="6"/>
  <c r="H37" i="5"/>
  <c r="I25" i="6"/>
  <c r="I27" i="6"/>
  <c r="M23" i="6"/>
  <c r="O128" i="3"/>
  <c r="D128" i="3"/>
  <c r="N74" i="42"/>
  <c r="N75" i="42" s="1"/>
  <c r="R59" i="42" l="1"/>
  <c r="Q59" i="42"/>
  <c r="T57" i="42"/>
  <c r="N57" i="42"/>
  <c r="N60" i="42" s="1"/>
  <c r="P60" i="42" s="1"/>
  <c r="R57" i="42"/>
  <c r="S57" i="42"/>
  <c r="X46" i="42" s="1"/>
  <c r="F45" i="42" s="1"/>
  <c r="R45" i="42" s="1"/>
  <c r="R69" i="42" s="1"/>
  <c r="S58" i="42"/>
  <c r="N58" i="42"/>
  <c r="O58" i="42" s="1"/>
  <c r="R58" i="42"/>
  <c r="T58" i="42"/>
  <c r="N59" i="42"/>
  <c r="O59" i="42" s="1"/>
  <c r="G45" i="42"/>
  <c r="T59" i="42"/>
  <c r="F10" i="44"/>
  <c r="E10" i="44" s="1"/>
  <c r="O57" i="42" l="1"/>
  <c r="R70" i="42"/>
  <c r="R71" i="42"/>
  <c r="K45" i="42"/>
  <c r="S45" i="42"/>
  <c r="S69" i="42" s="1"/>
  <c r="L45" i="42" l="1"/>
  <c r="M45" i="42" s="1"/>
  <c r="N45" i="42" l="1"/>
  <c r="T45" i="42"/>
  <c r="T69" i="42" s="1"/>
  <c r="T72" i="42" l="1"/>
  <c r="V70" i="42"/>
  <c r="N48" i="42"/>
  <c r="P48" i="42" s="1"/>
  <c r="P69" i="42" s="1"/>
  <c r="C69" i="42" s="1"/>
  <c r="O45" i="42"/>
</calcChain>
</file>

<file path=xl/sharedStrings.xml><?xml version="1.0" encoding="utf-8"?>
<sst xmlns="http://schemas.openxmlformats.org/spreadsheetml/2006/main" count="2700" uniqueCount="541">
  <si>
    <t>UNIT</t>
  </si>
  <si>
    <t>set</t>
  </si>
  <si>
    <t>QTY</t>
  </si>
  <si>
    <t>FLOORING WORKS</t>
  </si>
  <si>
    <t>INDIRECT COST</t>
  </si>
  <si>
    <t>lot</t>
  </si>
  <si>
    <t xml:space="preserve">Project: </t>
  </si>
  <si>
    <t>RENOVATION OF INSTITUTIONAL BUILDING (COLLEGE OF ENGINEERING)</t>
  </si>
  <si>
    <t xml:space="preserve">Location: </t>
  </si>
  <si>
    <t>MAIN CAMPUS, TARLAC STATE UNIVERSITY, TARLAC CITY</t>
  </si>
  <si>
    <t>Recommending Approval:</t>
  </si>
  <si>
    <t>Approved:</t>
  </si>
  <si>
    <t>DR. LORNA L. DIMATULAC, DPA</t>
  </si>
  <si>
    <t>DR. MYRNA Q. MALLARI, DBA</t>
  </si>
  <si>
    <t>Director - InfraManagement Office</t>
  </si>
  <si>
    <t>VP for Administration and Finance</t>
  </si>
  <si>
    <t>President</t>
  </si>
  <si>
    <t>ENGR. RYAN M. LAYUG</t>
  </si>
  <si>
    <t>pc.</t>
  </si>
  <si>
    <t>DESCRIPTION</t>
  </si>
  <si>
    <t>IMO Director</t>
  </si>
  <si>
    <t>Approved by:</t>
  </si>
  <si>
    <t>CM: PhP (*)</t>
  </si>
  <si>
    <t>A &amp; E: Php (*)</t>
  </si>
  <si>
    <t>Ceiling replacement, tiling, painting of wall and ceiling, replacement of doors and windows, installation of black/white board in the Right and Left Wing of the COE Building.</t>
  </si>
  <si>
    <t>Description of additional work to be performed:</t>
  </si>
  <si>
    <t>(Sheet no.):</t>
  </si>
  <si>
    <t>No</t>
  </si>
  <si>
    <t>Is dwg. required?</t>
  </si>
  <si>
    <t xml:space="preserve"> (List contracts by no.)</t>
  </si>
  <si>
    <t>Other contracts involved are as follows</t>
  </si>
  <si>
    <t>Yes</t>
  </si>
  <si>
    <t>Contractor authorized to proceed with this change</t>
  </si>
  <si>
    <t>To meet the needs of the end-user.</t>
  </si>
  <si>
    <t>Additional works order justification</t>
  </si>
  <si>
    <t>Actual job condition in area of proposed additional works</t>
  </si>
  <si>
    <t>End-user</t>
  </si>
  <si>
    <t>Date:</t>
  </si>
  <si>
    <t>IMO Engineer/Architect</t>
  </si>
  <si>
    <t xml:space="preserve">DR. MIRIAM S. GALVEZ </t>
  </si>
  <si>
    <t>Submitted by:</t>
  </si>
  <si>
    <t>Contractor</t>
  </si>
  <si>
    <t>Owner</t>
  </si>
  <si>
    <t>Project:</t>
  </si>
  <si>
    <t>INFRASTRUCTURE MANAGEMENT OFFICE</t>
  </si>
  <si>
    <t>To:</t>
  </si>
  <si>
    <t>NO.   1</t>
  </si>
  <si>
    <t>Tarlac City, Tarlac</t>
  </si>
  <si>
    <t>TARLAC STATE UNIVERSITY</t>
  </si>
  <si>
    <t>Noted by:</t>
  </si>
  <si>
    <t>Dean, COE</t>
  </si>
  <si>
    <t xml:space="preserve"> </t>
  </si>
  <si>
    <t>Requested by:</t>
  </si>
  <si>
    <t>To be effective, the owner must approve this order/request especially if it changes the scope or objective of the project, or as may otherwise be required by the supplemental agreement general conditions.</t>
  </si>
  <si>
    <t>Approvals required:</t>
  </si>
  <si>
    <t>months</t>
  </si>
  <si>
    <t>this additional work will now be:</t>
  </si>
  <si>
    <t>The new date of completion of all works including</t>
  </si>
  <si>
    <t>by:</t>
  </si>
  <si>
    <t>decreased</t>
  </si>
  <si>
    <t>increased</t>
  </si>
  <si>
    <t>The contract time due to additional work will now be</t>
  </si>
  <si>
    <t>Original contract time:</t>
  </si>
  <si>
    <t>Change in contract time:</t>
  </si>
  <si>
    <t>__________________________</t>
  </si>
  <si>
    <t>this additional work order will now be:</t>
  </si>
  <si>
    <t>calendar days</t>
  </si>
  <si>
    <t>_____</t>
  </si>
  <si>
    <t>The contract time due to this additional work order will now be</t>
  </si>
  <si>
    <t>PhP</t>
  </si>
  <si>
    <t>will now be in the amount of:</t>
  </si>
  <si>
    <t>The new contract price including the additional work order</t>
  </si>
  <si>
    <t>in the amount of:</t>
  </si>
  <si>
    <t>The contract price due to this additional work order will now be</t>
  </si>
  <si>
    <t>Original contract price:</t>
  </si>
  <si>
    <t>Change in contract price:</t>
  </si>
  <si>
    <t>Justification:</t>
  </si>
  <si>
    <t>The following additional works are hereby made to the contract documents:</t>
  </si>
  <si>
    <t>:</t>
  </si>
  <si>
    <t>Date</t>
  </si>
  <si>
    <t>Project</t>
  </si>
  <si>
    <t>CAD CONSTRUCTION</t>
  </si>
  <si>
    <t>To</t>
  </si>
  <si>
    <t xml:space="preserve">NO. </t>
  </si>
  <si>
    <t>ADDITIONAL WORK ORDER AUTHORIZATION</t>
  </si>
  <si>
    <t xml:space="preserve">Estimated effect on costs of  </t>
  </si>
  <si>
    <t>PhP.</t>
  </si>
  <si>
    <t>ENGR. EDWIN L. DELA VEGA</t>
  </si>
  <si>
    <t>DR. MYRNA Q. MALLARI</t>
  </si>
  <si>
    <t>INITIATOR ADDITIONAL WORK REQUEST</t>
  </si>
  <si>
    <t>Need of ceiling replacement, tiling, painting of wall and ceiling, replacement of doors and windows, installation of black/white board in the Right and Left Wing of the COE Building.</t>
  </si>
  <si>
    <t>Electrical</t>
  </si>
  <si>
    <t>ENGR. CRISPIN I. FLORA</t>
  </si>
  <si>
    <t>ARCH. EDUARDO T. QUINTERO</t>
  </si>
  <si>
    <t>Civil</t>
  </si>
  <si>
    <t>Duration:</t>
  </si>
  <si>
    <t>100 CALENDAR DAYS</t>
  </si>
  <si>
    <t>Checked by:</t>
  </si>
  <si>
    <t>m</t>
  </si>
  <si>
    <t>Marine Plyboard 3/4"</t>
  </si>
  <si>
    <t>Qty.</t>
  </si>
  <si>
    <t>Price</t>
  </si>
  <si>
    <t>Material</t>
  </si>
  <si>
    <t>Welding Rod</t>
  </si>
  <si>
    <t>Unit</t>
  </si>
  <si>
    <t>kg.</t>
  </si>
  <si>
    <t>Bolt 2-1/2"</t>
  </si>
  <si>
    <t>Black Board</t>
  </si>
  <si>
    <t>White Board</t>
  </si>
  <si>
    <t>Aluminum Edging</t>
  </si>
  <si>
    <t>Glue</t>
  </si>
  <si>
    <t>Railing</t>
  </si>
  <si>
    <t>Top Railing</t>
  </si>
  <si>
    <t>Top Roller</t>
  </si>
  <si>
    <t>Bottom Railing</t>
  </si>
  <si>
    <t>Bottom Roller</t>
  </si>
  <si>
    <t>Bracket 1"</t>
  </si>
  <si>
    <t>Finishing</t>
  </si>
  <si>
    <t>Painting</t>
  </si>
  <si>
    <t xml:space="preserve">sq. m. </t>
  </si>
  <si>
    <t xml:space="preserve">Labor </t>
  </si>
  <si>
    <t>Steel Framing</t>
  </si>
  <si>
    <t>sq. ft.</t>
  </si>
  <si>
    <t>Board Covering</t>
  </si>
  <si>
    <t>lot.</t>
  </si>
  <si>
    <t>Railing Assembly</t>
  </si>
  <si>
    <t>Total</t>
  </si>
  <si>
    <t xml:space="preserve">Screw </t>
  </si>
  <si>
    <t>Formica White</t>
  </si>
  <si>
    <t>Marine Plywood 1/2"</t>
  </si>
  <si>
    <t>Bracket 2-1/2"</t>
  </si>
  <si>
    <t>1-1/2" x 1-1/2" x 1.5 mm</t>
  </si>
  <si>
    <t>Hardilite 3.5mm</t>
  </si>
  <si>
    <t>quart</t>
  </si>
  <si>
    <t>qrt.</t>
  </si>
  <si>
    <t>Steel Painting</t>
  </si>
  <si>
    <t>gal.</t>
  </si>
  <si>
    <t>Subject:</t>
  </si>
  <si>
    <t>ITEM NO.</t>
  </si>
  <si>
    <t>MATERIAL COST</t>
  </si>
  <si>
    <t>LABOR COST</t>
  </si>
  <si>
    <t>ELECTRICAL WORKS</t>
  </si>
  <si>
    <t>FURNITURES</t>
  </si>
  <si>
    <t>Clerical Table</t>
  </si>
  <si>
    <t>Conference Table - 8 seater</t>
  </si>
  <si>
    <t>Clerical Chair</t>
  </si>
  <si>
    <t>AIR-CONDITIONER &amp; EXHAUST FAN</t>
  </si>
  <si>
    <t>DOORS AND WINDOWS</t>
  </si>
  <si>
    <t>APPLIANCES</t>
  </si>
  <si>
    <t>LED Projector</t>
  </si>
  <si>
    <t xml:space="preserve">WORKING STATION </t>
  </si>
  <si>
    <t>WALL PARTITIONING WORKS</t>
  </si>
  <si>
    <t>Wall Hung Lavatory</t>
  </si>
  <si>
    <t>SANITARY WARES</t>
  </si>
  <si>
    <t>PAINTING WORKS</t>
  </si>
  <si>
    <t>Computer Desktop w/ complete accessories</t>
  </si>
  <si>
    <t>2.5 HP Air-Conditioner Remote Type</t>
  </si>
  <si>
    <t>Table Cabinet W=0.8m x L=1.6m x H=30"</t>
  </si>
  <si>
    <t>Arm Chair (Director's Office)</t>
  </si>
  <si>
    <t>Swivel Chair (Planning &amp; Monitoring Department)</t>
  </si>
  <si>
    <t>Sofa with Center Table (Lounge Area)</t>
  </si>
  <si>
    <t>Window Blind 2 - 1.7m x 1.8m (Planning Department)</t>
  </si>
  <si>
    <t>Window Blind 1 - 1.7m x 3m (Monitoring Department, Director's Office &amp; Lounging Area)</t>
  </si>
  <si>
    <t>Window Blind 3 - 1.6m x 1.8m  (Director's Office)</t>
  </si>
  <si>
    <t>Window Blind 4 - 1.8m x 2.4m (Director's Office)</t>
  </si>
  <si>
    <t>Door Blind 5 - 0.8m x 2.1m (Director's Office)</t>
  </si>
  <si>
    <t>Finishing Nails - Assorted</t>
  </si>
  <si>
    <t>Sand Paper #220</t>
  </si>
  <si>
    <t>Sand Paper #120</t>
  </si>
  <si>
    <t>Executive Table</t>
  </si>
  <si>
    <t>Executive Chair</t>
  </si>
  <si>
    <t>Paint Brush 2-1/2"</t>
  </si>
  <si>
    <t>box</t>
  </si>
  <si>
    <t>Laminated Flooring w/ foam (120 sq. m)</t>
  </si>
  <si>
    <t>lit.</t>
  </si>
  <si>
    <t>Stickwell Glue</t>
  </si>
  <si>
    <t>1/2" x 1" x 10' Wood Edging</t>
  </si>
  <si>
    <t>-</t>
  </si>
  <si>
    <t>Masonry Putty</t>
  </si>
  <si>
    <t>Tools and other materials</t>
  </si>
  <si>
    <t>Primer</t>
  </si>
  <si>
    <t>Rough Carpentry</t>
  </si>
  <si>
    <t>Lacquer Primer</t>
  </si>
  <si>
    <t>Lacquer Putty</t>
  </si>
  <si>
    <t>Lacquer Thinner</t>
  </si>
  <si>
    <t>Retardant Lacquer Flo</t>
  </si>
  <si>
    <t>Lacquer Tinting Color</t>
  </si>
  <si>
    <t>Framing</t>
  </si>
  <si>
    <t>`</t>
  </si>
  <si>
    <t>+</t>
  </si>
  <si>
    <t xml:space="preserve">  </t>
  </si>
  <si>
    <t>3" x 3" x 5mm x 20' Angle Bar</t>
  </si>
  <si>
    <t>2" x 2" x 5mm x 20' Angle Bar</t>
  </si>
  <si>
    <t>TOTAL MATERIAL COST</t>
  </si>
  <si>
    <t>4' x 8' x 3/4" Marine Plywood</t>
  </si>
  <si>
    <t>0.2m x 0.3m x 1/4" Ordinary Glass</t>
  </si>
  <si>
    <t>4' x 8' x 6mm Hardiflex Board</t>
  </si>
  <si>
    <t>pcs.</t>
  </si>
  <si>
    <t>35mm x 92mm x 3m U-track w/ G24 (0.6mm)</t>
  </si>
  <si>
    <t>35mm x 92mm x 3m C-Stud w/ G24 (0.6mm)</t>
  </si>
  <si>
    <t>1/4" Swing Tempered Glass Door Brown on Analok Frame 0.8m x 2.1m</t>
  </si>
  <si>
    <t>1/4" Fixed Ordinary Glass Window Brown on Analok Frame 1.8m x 1.6m</t>
  </si>
  <si>
    <t>1/4" Fixed Ordinary Glass Window Brown on Analok Frame 1.8m x 2.4m</t>
  </si>
  <si>
    <t>Hardiflex Screw</t>
  </si>
  <si>
    <t>Metal Screw</t>
  </si>
  <si>
    <t>Concrete Nail 1"</t>
  </si>
  <si>
    <t xml:space="preserve">TOTAL AMOUNT </t>
  </si>
  <si>
    <t>Prepared by:</t>
  </si>
  <si>
    <t>Subtotal</t>
  </si>
  <si>
    <r>
      <t xml:space="preserve">PVC E-Pipe 20mm </t>
    </r>
    <r>
      <rPr>
        <sz val="14"/>
        <rFont val="Calibri"/>
        <family val="2"/>
      </rPr>
      <t>Φ</t>
    </r>
    <r>
      <rPr>
        <sz val="14"/>
        <rFont val="Calibri"/>
        <family val="2"/>
        <scheme val="minor"/>
      </rPr>
      <t xml:space="preserve"> x 3.0m</t>
    </r>
  </si>
  <si>
    <t>Electric Wire #10</t>
  </si>
  <si>
    <t>Electrical Tape</t>
  </si>
  <si>
    <t>1 Gang Airconditioning Unit Outlet</t>
  </si>
  <si>
    <t>PVC E-Utility Box</t>
  </si>
  <si>
    <t>roll</t>
  </si>
  <si>
    <t>1.5 HP Air-Conditioner Remote Type</t>
  </si>
  <si>
    <t>1 HP Air-Conditioner Remote Type</t>
  </si>
  <si>
    <t>PROPOSED NEW PHYSICAL PLANT OFFICE</t>
  </si>
  <si>
    <t>DETAILED ESTIMATE</t>
  </si>
  <si>
    <t>1/4" Fixed Ordinary Glass Window Brown on Analok Frame 1.8m x 0.8m</t>
  </si>
  <si>
    <t>Interior Repainting (150 sq. m.)</t>
  </si>
  <si>
    <t>Drywall Painting (40 sq. m.)</t>
  </si>
  <si>
    <t>Drywall Painting (78 sq. m. )</t>
  </si>
  <si>
    <t>Interior Repainting (115 sq. m.)</t>
  </si>
  <si>
    <t>Lacquer Paint</t>
  </si>
  <si>
    <t>Cabinet Pull</t>
  </si>
  <si>
    <t>1-1/2"  x 1/4" Expansion bolt</t>
  </si>
  <si>
    <t>Latex Paint (Ready Mix)</t>
  </si>
  <si>
    <t>Drawer Guide (Full Extension)</t>
  </si>
  <si>
    <t>Base Board 4" x 8'</t>
  </si>
  <si>
    <t>TOTAL</t>
  </si>
  <si>
    <t>UNIT COST</t>
  </si>
  <si>
    <t>TOTAL ITEM COST</t>
  </si>
  <si>
    <t>TOTAL AMOUNT IN FIGURES</t>
  </si>
  <si>
    <t>TOTAL AMOUNT IN WORDS</t>
  </si>
  <si>
    <t>Exhaust Fan Ceiling Type 12"</t>
  </si>
  <si>
    <t>Stainless Pipehood with stainless mesh</t>
  </si>
  <si>
    <r>
      <t>Aluminum Flexible Duct 100mm</t>
    </r>
    <r>
      <rPr>
        <sz val="14"/>
        <rFont val="Calibri"/>
        <family val="2"/>
      </rPr>
      <t>Φ</t>
    </r>
    <r>
      <rPr>
        <sz val="9.8000000000000007"/>
        <rFont val="Calibri"/>
        <family val="2"/>
      </rPr>
      <t xml:space="preserve"> </t>
    </r>
    <r>
      <rPr>
        <sz val="14"/>
        <rFont val="Calibri"/>
        <family val="2"/>
        <scheme val="minor"/>
      </rPr>
      <t>x 3m</t>
    </r>
  </si>
  <si>
    <t>Cabinet Concealed Hydraulic Hinge, Overlapped Type</t>
  </si>
  <si>
    <t>Drawer Lock, Bronze</t>
  </si>
  <si>
    <r>
      <t xml:space="preserve">1/4" </t>
    </r>
    <r>
      <rPr>
        <sz val="14"/>
        <rFont val="Calibri"/>
        <family val="2"/>
      </rPr>
      <t>Φ</t>
    </r>
    <r>
      <rPr>
        <sz val="9.8000000000000007"/>
        <rFont val="Calibri"/>
        <family val="2"/>
      </rPr>
      <t xml:space="preserve"> x </t>
    </r>
    <r>
      <rPr>
        <sz val="14"/>
        <rFont val="Calibri"/>
        <family val="2"/>
        <scheme val="minor"/>
      </rPr>
      <t>1-1/2"  Expansion bolt</t>
    </r>
  </si>
  <si>
    <t>PLUMBING WORKS</t>
  </si>
  <si>
    <t>STRUCTURAL WORKS</t>
  </si>
  <si>
    <t>Fixtures and Accessories</t>
  </si>
  <si>
    <t>Sanitary Pipes and Fittings</t>
  </si>
  <si>
    <t>2" Wye</t>
  </si>
  <si>
    <t>2" 1/8 Bend</t>
  </si>
  <si>
    <t xml:space="preserve">Bidet Spray Set Heavy Duty, Brass Chrome </t>
  </si>
  <si>
    <t>2" Sanitary Tee</t>
  </si>
  <si>
    <t>2" Cleanout</t>
  </si>
  <si>
    <t>2" Sanitary PVC Pipe</t>
  </si>
  <si>
    <t>Water Distribution Pipes and Fittings</t>
  </si>
  <si>
    <t>Aluminum Faucet</t>
  </si>
  <si>
    <t>1/2" Tee</t>
  </si>
  <si>
    <t>1/2" Elbow</t>
  </si>
  <si>
    <t>1/2" Faucet Elbow</t>
  </si>
  <si>
    <t>Common Toilet Door Renovation, Lavatory Cover Partitioning and Topping</t>
  </si>
  <si>
    <t>Demolition of Common Toilet Door</t>
  </si>
  <si>
    <t>Exterior Painting (20 sq. m.)</t>
  </si>
  <si>
    <t>Common Toilet and Lavatory Cover Partition</t>
  </si>
  <si>
    <t>sq.m.</t>
  </si>
  <si>
    <t>Reducer Transition Moulding</t>
  </si>
  <si>
    <t xml:space="preserve">Base Board  4" x 8' </t>
  </si>
  <si>
    <t>Solvent Cement 200cc</t>
  </si>
  <si>
    <r>
      <t xml:space="preserve">PVC E-Coupling 20mm </t>
    </r>
    <r>
      <rPr>
        <sz val="14"/>
        <rFont val="Calibri"/>
        <family val="2"/>
      </rPr>
      <t>Φ</t>
    </r>
    <r>
      <rPr>
        <sz val="14"/>
        <rFont val="Calibri"/>
        <family val="2"/>
        <scheme val="minor"/>
      </rPr>
      <t xml:space="preserve"> </t>
    </r>
  </si>
  <si>
    <t>Air-Conditioner Steel Frame Supports</t>
  </si>
  <si>
    <t>1/4" Swing Ordinary Glass Door Brown on Analok Frame 0.8m x 2.1m</t>
  </si>
  <si>
    <t>1/4" Sliding Ordinary Glass Door Clear on Analok Frame 2.5m x 2.1m</t>
  </si>
  <si>
    <t>JESUS S. DANGANAN</t>
  </si>
  <si>
    <t>Budget Officer</t>
  </si>
  <si>
    <t>Funds Available:</t>
  </si>
  <si>
    <t>PROPOSED NEW IMO-PPO OFFICE</t>
  </si>
  <si>
    <t>0.6 x 2.1m PVC Door with louver and Door Jamb, with complete accessories</t>
  </si>
  <si>
    <t>Drawer Pull, Stainless Steel 4.5" Round Handle</t>
  </si>
  <si>
    <t>Cabinet Pull, Stainless Steel 4.5" Round Handle</t>
  </si>
  <si>
    <t>Drawer Guide, Full Extension 14" Bearing Type Powder Coated</t>
  </si>
  <si>
    <t>Electric Wire #10 x 150m (5.5 sq.mm)</t>
  </si>
  <si>
    <r>
      <t xml:space="preserve">PVC E-Long Elbow 20mm </t>
    </r>
    <r>
      <rPr>
        <sz val="14"/>
        <rFont val="Calibri"/>
        <family val="2"/>
      </rPr>
      <t>Φ</t>
    </r>
    <r>
      <rPr>
        <sz val="14"/>
        <rFont val="Calibri"/>
        <family val="2"/>
        <scheme val="minor"/>
      </rPr>
      <t xml:space="preserve"> </t>
    </r>
  </si>
  <si>
    <t>PVC E-Junction Box w/ cover</t>
  </si>
  <si>
    <r>
      <t xml:space="preserve">PVC E-Pipe 20mm </t>
    </r>
    <r>
      <rPr>
        <sz val="14"/>
        <rFont val="Calibri"/>
        <family val="2"/>
      </rPr>
      <t>Φ</t>
    </r>
    <r>
      <rPr>
        <sz val="14"/>
        <rFont val="Calibri"/>
        <family val="2"/>
        <scheme val="minor"/>
      </rPr>
      <t xml:space="preserve"> x 3.0m with hub</t>
    </r>
  </si>
  <si>
    <t>Exhaust Fan Power Connection and Switch</t>
  </si>
  <si>
    <t>1/2" x 3m PVC Blue with hub</t>
  </si>
  <si>
    <t>Rough Carpentry (12 Working Stations)</t>
  </si>
  <si>
    <t>Laminated Flooring w/ foam (184 sq. m)</t>
  </si>
  <si>
    <t>Laminated Flooring w/ foam (64 sq. m)</t>
  </si>
  <si>
    <t>Interior Repainting (265 sq. m.)</t>
  </si>
  <si>
    <t>Drywall Painting (118 sq. m.)</t>
  </si>
  <si>
    <t>DIRECT COST</t>
  </si>
  <si>
    <t>WORKING STATION WORKS</t>
  </si>
  <si>
    <t>2.0 HP Air-Conditioner Remote Type</t>
  </si>
  <si>
    <t>Electric Wire #12 x 150m (5.5 sq.mm)</t>
  </si>
  <si>
    <r>
      <t xml:space="preserve">PVC E-Pipe 20mm </t>
    </r>
    <r>
      <rPr>
        <sz val="14"/>
        <color rgb="FFFF0000"/>
        <rFont val="Calibri"/>
        <family val="2"/>
      </rPr>
      <t>Φ</t>
    </r>
    <r>
      <rPr>
        <sz val="14"/>
        <color rgb="FFFF0000"/>
        <rFont val="Calibri"/>
        <family val="2"/>
        <scheme val="minor"/>
      </rPr>
      <t xml:space="preserve"> x 3.0m with hub</t>
    </r>
  </si>
  <si>
    <r>
      <t xml:space="preserve">PVC E-Coupling 20mm </t>
    </r>
    <r>
      <rPr>
        <sz val="14"/>
        <color rgb="FFFF0000"/>
        <rFont val="Calibri"/>
        <family val="2"/>
      </rPr>
      <t>Φ</t>
    </r>
    <r>
      <rPr>
        <sz val="14"/>
        <color rgb="FFFF0000"/>
        <rFont val="Calibri"/>
        <family val="2"/>
        <scheme val="minor"/>
      </rPr>
      <t xml:space="preserve"> </t>
    </r>
  </si>
  <si>
    <r>
      <t xml:space="preserve">PVC E-Long Elbow 20mm </t>
    </r>
    <r>
      <rPr>
        <sz val="14"/>
        <color rgb="FFFF0000"/>
        <rFont val="Calibri"/>
        <family val="2"/>
      </rPr>
      <t>Φ</t>
    </r>
    <r>
      <rPr>
        <sz val="14"/>
        <color rgb="FFFF0000"/>
        <rFont val="Calibri"/>
        <family val="2"/>
        <scheme val="minor"/>
      </rPr>
      <t xml:space="preserve"> </t>
    </r>
  </si>
  <si>
    <t>VP, Administration and Finance</t>
  </si>
  <si>
    <t>CONCRETE WORKS</t>
  </si>
  <si>
    <t>Footing</t>
  </si>
  <si>
    <t>REBAR WORKS</t>
  </si>
  <si>
    <t>kg</t>
  </si>
  <si>
    <t>cu.m.</t>
  </si>
  <si>
    <t>STRUCTURAL EXCAVATION</t>
  </si>
  <si>
    <t>C1F1</t>
  </si>
  <si>
    <t>C2F2</t>
  </si>
  <si>
    <t>F1</t>
  </si>
  <si>
    <t>F2</t>
  </si>
  <si>
    <t>C1</t>
  </si>
  <si>
    <t>C2</t>
  </si>
  <si>
    <t>GRAVEL BEDDING</t>
  </si>
  <si>
    <t>16mm</t>
  </si>
  <si>
    <t>Column</t>
  </si>
  <si>
    <t>10mm</t>
  </si>
  <si>
    <t>12mm</t>
  </si>
  <si>
    <t>no increased</t>
  </si>
  <si>
    <t>PAINTING</t>
  </si>
  <si>
    <t>Primeguard Primer</t>
  </si>
  <si>
    <t>45 L</t>
  </si>
  <si>
    <t>12 gal</t>
  </si>
  <si>
    <t>Semigloss Enamel</t>
  </si>
  <si>
    <t>72 L</t>
  </si>
  <si>
    <t>18 gal</t>
  </si>
  <si>
    <t>Thinner</t>
  </si>
  <si>
    <t>29 L</t>
  </si>
  <si>
    <t>8 gal</t>
  </si>
  <si>
    <t>Steelworks</t>
  </si>
  <si>
    <t>Concrete Pedestal</t>
  </si>
  <si>
    <t>225 sq.m.</t>
  </si>
  <si>
    <t>10 sq.m.</t>
  </si>
  <si>
    <t>MARK-UPS IN PERCENT</t>
  </si>
  <si>
    <t>ESTIMATED DIRECT COST</t>
  </si>
  <si>
    <t>OCM</t>
  </si>
  <si>
    <t>PROFIT</t>
  </si>
  <si>
    <t>%</t>
  </si>
  <si>
    <t>TOTAL MARK-UP</t>
  </si>
  <si>
    <t>VAT</t>
  </si>
  <si>
    <t>TOTAL INDIRECT COST</t>
  </si>
  <si>
    <t>TOTAL COST</t>
  </si>
  <si>
    <t>Value</t>
  </si>
  <si>
    <t>(6)+(7)</t>
  </si>
  <si>
    <t>(5) x (8)</t>
  </si>
  <si>
    <t>5% ( (5) + (9) )</t>
  </si>
  <si>
    <t>(9) + (10)</t>
  </si>
  <si>
    <t>(5) + (11)</t>
  </si>
  <si>
    <t>(12) / (3)</t>
  </si>
  <si>
    <t>SUB TOTAL</t>
  </si>
  <si>
    <t>LABOR</t>
  </si>
  <si>
    <t>MR. JOHN ERWIN C. PANLILIO</t>
  </si>
  <si>
    <t>Chief Finance Officer</t>
  </si>
  <si>
    <t>(3)+(4)</t>
  </si>
  <si>
    <t>MATERIALS</t>
  </si>
  <si>
    <t>2</t>
  </si>
  <si>
    <t>3</t>
  </si>
  <si>
    <t>4</t>
  </si>
  <si>
    <t>General Requirements</t>
  </si>
  <si>
    <t>Supply and Installation of Passenger Elevator and Accessories      Equipment Type: Machine-Room-Less                                                                 Designation: Passenger                                                                                           Capacity: 800 kg (10-11 persons)                                                                             Floor/Stops/Openings: 4/4/4                                                                                   Speed: 1.0 m/s (60 mpm)</t>
  </si>
  <si>
    <t>Elevator Pit Pump System                                                                                        1/2 HP Submersible Cap. 20 GPM, 20 ft TDH w/ Controller and Liquid Level Switch                                                                                                       50 mm dia. Drainage pipe, fittings and valves</t>
  </si>
  <si>
    <t>AR. KING JHON PAUL R. TALON</t>
  </si>
  <si>
    <t>A.</t>
  </si>
  <si>
    <t>MR. WENCIE S. MAÑEBOG</t>
  </si>
  <si>
    <t>Reviewed by:</t>
  </si>
  <si>
    <t>tempered glass with framing &amp; decals price</t>
  </si>
  <si>
    <t>sq.m</t>
  </si>
  <si>
    <t>sq.ft</t>
  </si>
  <si>
    <t>x300</t>
  </si>
  <si>
    <t>x320</t>
  </si>
  <si>
    <t>x340</t>
  </si>
  <si>
    <t>x440</t>
  </si>
  <si>
    <t>Planning Head, FDMO-PMU</t>
  </si>
  <si>
    <t>Director, FDMO</t>
  </si>
  <si>
    <t>DR. ARNOLD E. VELASCO</t>
  </si>
  <si>
    <t>Construction Occupational Safety &amp; Health - COSH Program New Normal  (PPE, Safety Signages, etc.)</t>
  </si>
  <si>
    <t>Mobilization, Demobilization and Temporary Facilities (water, electricity, bunkhouse, field office, enclosure/fence, storage, etc.)</t>
  </si>
  <si>
    <t>Re-pair Works</t>
  </si>
  <si>
    <t>Repair of the side cover</t>
  </si>
  <si>
    <t>Repair of the roofing</t>
  </si>
  <si>
    <t>Miscellaneous</t>
  </si>
  <si>
    <t>Steel</t>
  </si>
  <si>
    <t>Location</t>
  </si>
  <si>
    <t xml:space="preserve">White </t>
  </si>
  <si>
    <t>Red</t>
  </si>
  <si>
    <t>Bricks</t>
  </si>
  <si>
    <t>Units</t>
  </si>
  <si>
    <t>Ground Floor</t>
  </si>
  <si>
    <t>Second Floor</t>
  </si>
  <si>
    <t>Third Floor</t>
  </si>
  <si>
    <t>Fourth Floor</t>
  </si>
  <si>
    <t>Fifth Floor</t>
  </si>
  <si>
    <t>Paraphet</t>
  </si>
  <si>
    <t>Beam</t>
  </si>
  <si>
    <t>Elevator &amp; Stairs wall</t>
  </si>
  <si>
    <t>Sub Total</t>
  </si>
  <si>
    <t>Total + 10%</t>
  </si>
  <si>
    <t>Surface Prep</t>
  </si>
  <si>
    <t>Round-off</t>
  </si>
  <si>
    <t>Repair and polishing of stainless steel "UNIVERSITY HOTEL" lettering</t>
  </si>
  <si>
    <t>DR. MURPHY P. MOHAMMED</t>
  </si>
  <si>
    <t>Draftsman, FDMO-PMU</t>
  </si>
  <si>
    <t>Repair/ Refurbish and installation of  Door lock hinges, Door knob at the balcony door</t>
  </si>
  <si>
    <t>NINE HUNDRED SEVENTY SIX THOUSAND TWO HUNDRED SEVENTY SEVEN PESOS AND FIFTEEN CENTAVOS</t>
  </si>
  <si>
    <t>AR. CHERRY L. FABIANES</t>
  </si>
  <si>
    <t>Location: Lucinda Extension Campus, Tarlac State University</t>
  </si>
  <si>
    <t>Detailed Unit Price Analysis</t>
  </si>
  <si>
    <t>Unit Price</t>
  </si>
  <si>
    <t>Total Price</t>
  </si>
  <si>
    <t>Materials</t>
  </si>
  <si>
    <t>Item No.</t>
  </si>
  <si>
    <t>Description</t>
  </si>
  <si>
    <t>Unit Cost</t>
  </si>
  <si>
    <t>Total Cost</t>
  </si>
  <si>
    <t>(a) Total Cost of Materials</t>
  </si>
  <si>
    <t>B.</t>
  </si>
  <si>
    <t>Labor</t>
  </si>
  <si>
    <t>Job Type</t>
  </si>
  <si>
    <t>Man-Days</t>
  </si>
  <si>
    <t>Wage Rate</t>
  </si>
  <si>
    <t>(b) Total Cost of Labor</t>
  </si>
  <si>
    <t>C.</t>
  </si>
  <si>
    <t>Equipment Utilization</t>
  </si>
  <si>
    <t>Equipment Utilized</t>
  </si>
  <si>
    <t>Utilization Period</t>
  </si>
  <si>
    <t>Utilization Rate</t>
  </si>
  <si>
    <t>(c) Total Cost for Equipment Utilization</t>
  </si>
  <si>
    <t xml:space="preserve">(d) Total Direct Costs = (a) + (b) + (c) </t>
  </si>
  <si>
    <t>(e) Indirect Costs: OCM and Profit</t>
  </si>
  <si>
    <t>(f) Total Direct and Indirect Costs = (d) + (e)</t>
  </si>
  <si>
    <t>(g) Value Added Tax</t>
  </si>
  <si>
    <t>(h) Total Price</t>
  </si>
  <si>
    <t xml:space="preserve">Subject : </t>
  </si>
  <si>
    <t>Paint Remover</t>
  </si>
  <si>
    <t>Skimcoat</t>
  </si>
  <si>
    <t>Paint Thinner</t>
  </si>
  <si>
    <t>Off-White Semi-Gloss Latex Paint</t>
  </si>
  <si>
    <t>Gray Semi-Gloss Latex Paint</t>
  </si>
  <si>
    <t>Emulsion Paint</t>
  </si>
  <si>
    <t>gray</t>
  </si>
  <si>
    <t>white</t>
  </si>
  <si>
    <t>red</t>
  </si>
  <si>
    <t>bricks</t>
  </si>
  <si>
    <t>2coats</t>
  </si>
  <si>
    <t>scaffold</t>
  </si>
  <si>
    <t>left façade</t>
  </si>
  <si>
    <t>frame</t>
  </si>
  <si>
    <t>cross brace</t>
  </si>
  <si>
    <t>joint pin</t>
  </si>
  <si>
    <t>cat walk</t>
  </si>
  <si>
    <t>area</t>
  </si>
  <si>
    <t>front façade</t>
  </si>
  <si>
    <t>right</t>
  </si>
  <si>
    <t>gi pipe</t>
  </si>
  <si>
    <t>vertical</t>
  </si>
  <si>
    <t>horizontal</t>
  </si>
  <si>
    <t>z</t>
  </si>
  <si>
    <t>6m</t>
  </si>
  <si>
    <t>clamp</t>
  </si>
  <si>
    <t>pc</t>
  </si>
  <si>
    <t>pesos</t>
  </si>
  <si>
    <t>catwalk</t>
  </si>
  <si>
    <t>per meter</t>
  </si>
  <si>
    <t>Painting of Concrete Walls, Beams, Paraphet, Concrete Mouldings, Railings and Doors (For surface preparation. Cleaning, removal/scraping of old paints and use paint remover)</t>
  </si>
  <si>
    <t>Painting Works</t>
  </si>
  <si>
    <t>Teracotta Red Semi-gloss latex  paint</t>
  </si>
  <si>
    <t>Sanded Grout</t>
  </si>
  <si>
    <t xml:space="preserve"> Black enamel</t>
  </si>
  <si>
    <t xml:space="preserve"> Oil wood stain varnish</t>
  </si>
  <si>
    <t>Clear gloss top coat</t>
  </si>
  <si>
    <t>15 sq. m per gal</t>
  </si>
  <si>
    <t xml:space="preserve">                                                                                         </t>
  </si>
  <si>
    <t>Mobilization, Demobilization and Temporary Facilities (water, electricity, bunkhouse, enclosure/fence, storage, etc.)</t>
  </si>
  <si>
    <t>gipipe</t>
  </si>
  <si>
    <t>scaffolding</t>
  </si>
  <si>
    <t>Repainting Works Front</t>
  </si>
  <si>
    <t>White</t>
  </si>
  <si>
    <t>ENGR. DAVE B. MENDOZA</t>
  </si>
  <si>
    <t>AR. ARLEN M. GUIEB</t>
  </si>
  <si>
    <t>Civil Engineer</t>
  </si>
  <si>
    <t>Head, Planning Unit-FDMO</t>
  </si>
  <si>
    <t>Head, Monitoring Unit-FDMO</t>
  </si>
  <si>
    <t>DR. GRACE N.ROSETE</t>
  </si>
  <si>
    <t>Draftsman</t>
  </si>
  <si>
    <t>Repair Works</t>
  </si>
  <si>
    <t xml:space="preserve">DIRECT </t>
  </si>
  <si>
    <t>INDIRECT</t>
  </si>
  <si>
    <t>Certified by:</t>
  </si>
  <si>
    <t>Repair and Polishing of Stainless Steel "UNIVERSITY HOTEL" Lettering</t>
  </si>
  <si>
    <t>m²</t>
  </si>
  <si>
    <t>0.5mm thk. Pre-Painted Gutter including fasteners</t>
  </si>
  <si>
    <t>Fabrication and Installation of  2.50m x 3.60m Glass Wall Partition with 6mm thk. Clear Glass and Analok Frame</t>
  </si>
  <si>
    <t>Fabrication and Installation of 1.80m x 2.40m Fixed Window with 6mm thk. Clear Glass and Z-Bar Frame including primer and at least 2 top coats</t>
  </si>
  <si>
    <t>Fabrication and Installation of 1.20m x 1.20m Fixed Window with 6mm thk. Clear Glass and Z-Bar Frame including primer and at least 2 top coats</t>
  </si>
  <si>
    <t xml:space="preserve">0.5mm thk. Pre-Painted Rib-type Roofing including fasteners </t>
  </si>
  <si>
    <t>0.5mm thk. Pre-Painted Ridge Roll including fasteners</t>
  </si>
  <si>
    <t>Roofing Works</t>
  </si>
  <si>
    <t>(5 + 11) * (1)</t>
  </si>
  <si>
    <t>Semi-Gloss Latex Paint Finish on Exterior Walls, Brick Walls, Columns, Beams, Parapet, Slab Soffit, Concrete Mouldings etc. of TSU Hotel (installation of scaffolding, surface preparation, removal, scraping &amp; cleaning of old paints)</t>
  </si>
  <si>
    <t>Enamel Paint Finish All Exterior Balcony Railings including Skylight Roof Steel Framing (installation of scaffolding, surface preparation, removal, scraping &amp; cleaning of old paints)</t>
  </si>
  <si>
    <t>Mobilization, Demobilization, and Temporary Facilities (water, electricity, bunkhouse, field office, enclosure/fence, storage, billboard, etc.)</t>
  </si>
  <si>
    <t>6mm thk Clear Polycarbonate Sheet including fasteners &amp; additional steel framing</t>
  </si>
  <si>
    <t>VP, Administration  and Finance</t>
  </si>
  <si>
    <t>Permits, Clearances and Licenses</t>
  </si>
  <si>
    <t>Repainting Works</t>
  </si>
  <si>
    <t>Qty</t>
  </si>
  <si>
    <t>Area</t>
  </si>
  <si>
    <t>Rental per month</t>
  </si>
  <si>
    <t>Area Coverage</t>
  </si>
  <si>
    <t>Scaffolding Set</t>
  </si>
  <si>
    <t>Platform</t>
  </si>
  <si>
    <t>Flat Latex Smooth Paint Finish Interior and Exterior Ceiling (surface preparation, removal, scraping &amp; cleaning of old paints)</t>
  </si>
  <si>
    <t>Semi-Gloss Latex Paint Finish on All Exterior Balcony Doors (surface preparation, removal, scraping &amp; cleaning of old paints)</t>
  </si>
  <si>
    <t>6.0 mm thk. Fiber Cement Board Ceiling and Roof Eaves System</t>
  </si>
  <si>
    <t>Replacement and Installation of Door hinges, Door knob at all Balcony Doors</t>
  </si>
  <si>
    <t xml:space="preserve">Name of Contract/Project: REPAIR AND REPAINTING OF TSU HOTEL </t>
  </si>
  <si>
    <t>[Signature]</t>
  </si>
  <si>
    <t>Waterproofing for concrete gutter and 5th floor concrete slab balcony  (surface preparation, application of 5 coats of cementitious waterproofing)</t>
  </si>
  <si>
    <t xml:space="preserve">Installation of Fascia Framing System made of 2" x 10" x 1.5mm thk &amp; 2" x 4" x 1.5mm thk C-Purlins </t>
  </si>
  <si>
    <t xml:space="preserve">4.5mm thk Solid Polycarbonate Sheet including 2x1/8" thk aluminum flat bar including silicone sealant and fasteners </t>
  </si>
  <si>
    <t xml:space="preserve">Installation of 0.50 mm thk. Pre-Painted Spandrel including framing, air ventillation, and mouldings </t>
  </si>
  <si>
    <t>Fabrication and Installation of  W2 2.50m x 3.60m Glass Wall Partition with 6mm thk. Clear Glass and Analok Frame</t>
  </si>
  <si>
    <t>Replacement and Installation of 6mm thk x 0.60m x 0.60m Clear Glass of W4</t>
  </si>
  <si>
    <t>Replacement and Installation of 6mm thk x 0.60m x 0.60m Clear Glass of W6</t>
  </si>
  <si>
    <t>Replacement and Installation of 6mm thk x 0.60m x 0.60m Clear Glass of W5</t>
  </si>
  <si>
    <t>Replacement and Installation of 6mm thk x 0.60m x 0.60m Clear Glass of W3</t>
  </si>
  <si>
    <t>Replacement and Installation of 6mm thk x 0.55m x 0.65m Clear Glass of W1</t>
  </si>
  <si>
    <t>Flat Latex Smooth Paint Finish on Balcony Ceiling (scrapping of old paint, surface preparation, primer, and top coats)</t>
  </si>
  <si>
    <t>0.5mm thk. x 24" Pre-Painted G.I. Sheet Wall and End Flashing (including fasteners, silicone &amp; etc.)</t>
  </si>
  <si>
    <t>0.5mm thk. x 24" Pre-Painted G.I. Sheet Fascia including fasteners</t>
  </si>
  <si>
    <t>0.5mm thk. x 24" Pre-Painted G.I. Sheet Ridge Roll including fasteners</t>
  </si>
  <si>
    <t xml:space="preserve">0.5mm thk. Pre-Painted Longspan Rib-type Roofing including fasteners </t>
  </si>
  <si>
    <t xml:space="preserve">0.5mm thk. Pre-Painted Longspan Rib-type Curved Roofing including  fasteners </t>
  </si>
  <si>
    <t>Acrylic Emulsion Paint  (surface preparation, application of sanded grout, and top coats of exterior wall)</t>
  </si>
  <si>
    <t>Dismantling, Hauling and Disposal of Existing Ficem Board Roof Eaves including framing</t>
  </si>
  <si>
    <t>Epoxy Primer Gray Paint Finish on 5th floor Skylight, Left Exit Area and Service Area roof framing including g.i pipe posts, steel matting partitions (surface preparation, removal, scraping &amp; cleaning of old paints and top coats)</t>
  </si>
  <si>
    <t>Off-White Semi Gloss Latex Paint (scrapping of old paint, surface preparation, primer, and top coats)</t>
  </si>
  <si>
    <t>Tera Cotta Red Semi Gloss Latex Paint  (scrapping of old paint, surface preparation, primer, and top coats)</t>
  </si>
  <si>
    <t>Gray Semi Gloss Latex Paint  (scrapping of old paint, surface preparation, primer, and top coats)</t>
  </si>
  <si>
    <t>Enamel Paint Finish on Porte Cochere, Steel Louvers and ACU Framing (surface preparation, removal, scraping &amp; cleaning of old paints, primer, and top coats)</t>
  </si>
  <si>
    <t>Gloss, Acrylic, Water Based Paint on Service Area roof and Left Exit Area roof (scrapping of old paint, surface preparation, primer, and top coats)</t>
  </si>
  <si>
    <t>[Title/Position]</t>
  </si>
  <si>
    <r>
      <t>[</t>
    </r>
    <r>
      <rPr>
        <i/>
        <sz val="11"/>
        <color theme="1"/>
        <rFont val="Calibri"/>
        <family val="2"/>
        <scheme val="minor"/>
      </rPr>
      <t>Signature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</si>
  <si>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Name of Authorized Signatory</t>
    </r>
    <r>
      <rPr>
        <sz val="11"/>
        <color theme="1"/>
        <rFont val="Calibri"/>
        <family val="2"/>
        <scheme val="minor"/>
      </rPr>
      <t>]</t>
    </r>
  </si>
  <si>
    <r>
      <t>[</t>
    </r>
    <r>
      <rPr>
        <i/>
        <sz val="11"/>
        <color theme="1"/>
        <rFont val="Calibri"/>
        <family val="2"/>
        <scheme val="minor"/>
      </rPr>
      <t>Position/Title of Authorized Signatory]</t>
    </r>
  </si>
  <si>
    <t>Repair and re-painting of Roll-up door, damaged z-bar and analok window framings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</si>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</sst>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₱&quot;* #,##0.00_-;\-&quot;₱&quot;* #,##0.00_-;_-&quot;₱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 * #,##0.00_ ;_ * \-#,##0.00_ ;_ * &quot;-&quot;??_ ;_ @_ "/>
    <numFmt numFmtId="167" formatCode="0.00;[Red]0.00"/>
    <numFmt numFmtId="168" formatCode="#."/>
    <numFmt numFmtId="169" formatCode="#.#."/>
    <numFmt numFmtId="170" formatCode="0.0"/>
    <numFmt numFmtId="171" formatCode="#,##0.00;[Red]#,##0.00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Times New Roman"/>
      <family val="1"/>
      <charset val="134"/>
    </font>
    <font>
      <sz val="11"/>
      <color indexed="8"/>
      <name val="Arial"/>
      <family val="2"/>
      <charset val="134"/>
    </font>
    <font>
      <b/>
      <sz val="11"/>
      <color indexed="8"/>
      <name val="Arial"/>
      <family val="2"/>
      <charset val="134"/>
    </font>
    <font>
      <b/>
      <u/>
      <sz val="11"/>
      <color indexed="8"/>
      <name val="Arial"/>
      <family val="2"/>
      <charset val="134"/>
    </font>
    <font>
      <sz val="11"/>
      <color indexed="8"/>
      <name val="Arial"/>
      <family val="2"/>
    </font>
    <font>
      <b/>
      <i/>
      <sz val="11"/>
      <color indexed="8"/>
      <name val="Arial"/>
      <family val="2"/>
      <charset val="134"/>
    </font>
    <font>
      <b/>
      <sz val="12"/>
      <color indexed="8"/>
      <name val="Arial"/>
      <family val="2"/>
      <charset val="134"/>
    </font>
    <font>
      <sz val="12"/>
      <color indexed="8"/>
      <name val="Arial"/>
      <family val="2"/>
      <charset val="13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8"/>
      <name val="Arial"/>
      <family val="2"/>
      <charset val="134"/>
    </font>
    <font>
      <b/>
      <i/>
      <sz val="12"/>
      <color indexed="8"/>
      <name val="Arial"/>
      <family val="2"/>
      <charset val="134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b/>
      <sz val="10"/>
      <name val="Arial"/>
      <family val="2"/>
    </font>
    <font>
      <sz val="14"/>
      <name val="Calibri"/>
      <family val="2"/>
    </font>
    <font>
      <sz val="9.8000000000000007"/>
      <name val="Calibri"/>
      <family val="2"/>
    </font>
    <font>
      <sz val="14"/>
      <color rgb="FFFF0000"/>
      <name val="Calibri"/>
      <family val="2"/>
      <scheme val="minor"/>
    </font>
    <font>
      <sz val="14"/>
      <color rgb="FFFF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i/>
      <sz val="16"/>
      <color theme="1"/>
      <name val="Arial"/>
      <family val="2"/>
    </font>
    <font>
      <sz val="16"/>
      <color rgb="FF000000"/>
      <name val="Arial"/>
      <family val="2"/>
    </font>
    <font>
      <sz val="14"/>
      <name val="Arial Black"/>
      <family val="2"/>
    </font>
    <font>
      <b/>
      <sz val="14"/>
      <name val="Arial Black"/>
      <family val="2"/>
    </font>
    <font>
      <b/>
      <i/>
      <sz val="14"/>
      <name val="Arial Black"/>
      <family val="2"/>
    </font>
    <font>
      <b/>
      <sz val="16"/>
      <name val="Arial Black"/>
      <family val="2"/>
    </font>
    <font>
      <sz val="15"/>
      <name val="Arial Black"/>
      <family val="2"/>
    </font>
    <font>
      <b/>
      <sz val="15"/>
      <name val="Arial Black"/>
      <family val="2"/>
    </font>
    <font>
      <i/>
      <sz val="14"/>
      <name val="Arial Black"/>
      <family val="2"/>
    </font>
    <font>
      <b/>
      <sz val="14"/>
      <color theme="1"/>
      <name val="Arial Black"/>
      <family val="2"/>
    </font>
    <font>
      <sz val="11"/>
      <color theme="1"/>
      <name val="Arial Black"/>
      <family val="2"/>
    </font>
    <font>
      <sz val="14"/>
      <color theme="1"/>
      <name val="Arial Black"/>
      <family val="2"/>
    </font>
    <font>
      <sz val="12"/>
      <color theme="1"/>
      <name val="Arial Black"/>
      <family val="2"/>
    </font>
    <font>
      <sz val="16"/>
      <name val="Arial Black"/>
      <family val="2"/>
    </font>
    <font>
      <b/>
      <i/>
      <sz val="16"/>
      <name val="Arial Black"/>
      <family val="2"/>
    </font>
    <font>
      <i/>
      <sz val="16"/>
      <name val="Arial Black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1">
    <xf numFmtId="0" fontId="0" fillId="0" borderId="0"/>
    <xf numFmtId="165" fontId="8" fillId="0" borderId="0" applyFont="0" applyFill="0" applyBorder="0" applyAlignment="0" applyProtection="0"/>
    <xf numFmtId="0" fontId="13" fillId="0" borderId="0">
      <alignment vertical="center"/>
    </xf>
    <xf numFmtId="166" fontId="13" fillId="0" borderId="0" applyFont="0" applyFill="0" applyBorder="0" applyAlignment="0" applyProtection="0">
      <alignment vertical="center"/>
    </xf>
    <xf numFmtId="0" fontId="8" fillId="0" borderId="0"/>
    <xf numFmtId="164" fontId="3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0" borderId="0"/>
    <xf numFmtId="0" fontId="8" fillId="0" borderId="0"/>
    <xf numFmtId="0" fontId="4" fillId="0" borderId="0"/>
    <xf numFmtId="0" fontId="4" fillId="0" borderId="0"/>
    <xf numFmtId="9" fontId="3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2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24">
    <xf numFmtId="0" fontId="0" fillId="0" borderId="0" xfId="0"/>
    <xf numFmtId="2" fontId="9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14" fontId="9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11" fillId="0" borderId="0" xfId="0" applyFont="1"/>
    <xf numFmtId="4" fontId="10" fillId="0" borderId="0" xfId="0" applyNumberFormat="1" applyFont="1"/>
    <xf numFmtId="0" fontId="12" fillId="0" borderId="0" xfId="0" applyFont="1"/>
    <xf numFmtId="0" fontId="14" fillId="0" borderId="0" xfId="2" applyFont="1">
      <alignment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4" fontId="14" fillId="0" borderId="0" xfId="2" applyNumberFormat="1" applyFont="1">
      <alignment vertical="center"/>
    </xf>
    <xf numFmtId="0" fontId="14" fillId="0" borderId="0" xfId="2" applyFont="1" applyAlignment="1">
      <alignment horizontal="right" vertical="center"/>
    </xf>
    <xf numFmtId="0" fontId="18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5" fillId="0" borderId="0" xfId="2" applyFont="1">
      <alignment vertical="center"/>
    </xf>
    <xf numFmtId="15" fontId="16" fillId="0" borderId="0" xfId="2" applyNumberFormat="1" applyFont="1">
      <alignment vertical="center"/>
    </xf>
    <xf numFmtId="0" fontId="17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horizontal="right" vertical="center"/>
    </xf>
    <xf numFmtId="0" fontId="20" fillId="0" borderId="0" xfId="2" applyFont="1" applyAlignment="1">
      <alignment horizontal="left" vertical="top"/>
    </xf>
    <xf numFmtId="0" fontId="19" fillId="0" borderId="0" xfId="2" applyFont="1">
      <alignment vertical="center"/>
    </xf>
    <xf numFmtId="0" fontId="23" fillId="0" borderId="0" xfId="2" applyFont="1">
      <alignment vertical="center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0" borderId="1" xfId="2" applyFont="1" applyBorder="1">
      <alignment vertical="center"/>
    </xf>
    <xf numFmtId="0" fontId="24" fillId="0" borderId="0" xfId="2" applyFont="1" applyAlignment="1">
      <alignment horizontal="right" vertical="center"/>
    </xf>
    <xf numFmtId="0" fontId="13" fillId="0" borderId="0" xfId="2">
      <alignment vertical="center"/>
    </xf>
    <xf numFmtId="0" fontId="14" fillId="0" borderId="14" xfId="2" applyFont="1" applyBorder="1">
      <alignment vertical="center"/>
    </xf>
    <xf numFmtId="0" fontId="15" fillId="0" borderId="14" xfId="2" applyFont="1" applyBorder="1">
      <alignment vertical="center"/>
    </xf>
    <xf numFmtId="0" fontId="19" fillId="0" borderId="0" xfId="2" applyFont="1" applyAlignment="1">
      <alignment horizontal="left" vertical="center"/>
    </xf>
    <xf numFmtId="0" fontId="9" fillId="0" borderId="0" xfId="0" applyFont="1" applyAlignment="1">
      <alignment horizontal="left"/>
    </xf>
    <xf numFmtId="0" fontId="14" fillId="0" borderId="7" xfId="2" applyFont="1" applyBorder="1">
      <alignment vertical="center"/>
    </xf>
    <xf numFmtId="0" fontId="14" fillId="0" borderId="6" xfId="2" applyFont="1" applyBorder="1">
      <alignment vertical="center"/>
    </xf>
    <xf numFmtId="0" fontId="15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0" fontId="27" fillId="0" borderId="0" xfId="2" applyFont="1" applyAlignment="1">
      <alignment horizontal="left" vertical="center"/>
    </xf>
    <xf numFmtId="2" fontId="14" fillId="0" borderId="0" xfId="2" applyNumberFormat="1" applyFont="1">
      <alignment vertical="center"/>
    </xf>
    <xf numFmtId="2" fontId="9" fillId="0" borderId="1" xfId="0" applyNumberFormat="1" applyFont="1" applyBorder="1" applyAlignment="1">
      <alignment vertical="center" wrapText="1"/>
    </xf>
    <xf numFmtId="4" fontId="9" fillId="0" borderId="1" xfId="1" applyNumberFormat="1" applyFont="1" applyFill="1" applyBorder="1" applyAlignment="1">
      <alignment horizontal="right" vertical="center" indent="1"/>
    </xf>
    <xf numFmtId="2" fontId="10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vertical="center" wrapText="1"/>
    </xf>
    <xf numFmtId="4" fontId="12" fillId="0" borderId="0" xfId="0" applyNumberFormat="1" applyFont="1"/>
    <xf numFmtId="0" fontId="0" fillId="0" borderId="0" xfId="0" applyAlignment="1">
      <alignment horizontal="center"/>
    </xf>
    <xf numFmtId="0" fontId="28" fillId="0" borderId="0" xfId="0" applyFont="1"/>
    <xf numFmtId="0" fontId="8" fillId="0" borderId="0" xfId="0" applyFont="1"/>
    <xf numFmtId="0" fontId="8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8" fillId="0" borderId="0" xfId="0" applyFont="1" applyAlignment="1">
      <alignment horizont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right" vertical="center" indent="2"/>
    </xf>
    <xf numFmtId="4" fontId="9" fillId="0" borderId="1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left" vertical="center" indent="1"/>
    </xf>
    <xf numFmtId="4" fontId="10" fillId="0" borderId="0" xfId="0" applyNumberFormat="1" applyFont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wrapText="1" indent="2"/>
    </xf>
    <xf numFmtId="1" fontId="9" fillId="0" borderId="1" xfId="0" applyNumberFormat="1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4" fontId="10" fillId="0" borderId="0" xfId="0" applyNumberFormat="1" applyFont="1" applyAlignment="1">
      <alignment vertical="center"/>
    </xf>
    <xf numFmtId="4" fontId="11" fillId="0" borderId="1" xfId="1" applyNumberFormat="1" applyFont="1" applyFill="1" applyBorder="1" applyAlignment="1">
      <alignment horizontal="right" vertical="center" indent="1"/>
    </xf>
    <xf numFmtId="4" fontId="11" fillId="0" borderId="1" xfId="1" applyNumberFormat="1" applyFont="1" applyFill="1" applyBorder="1" applyAlignment="1">
      <alignment horizontal="right" vertical="center" indent="2"/>
    </xf>
    <xf numFmtId="4" fontId="11" fillId="0" borderId="1" xfId="0" applyNumberFormat="1" applyFont="1" applyBorder="1" applyAlignment="1">
      <alignment horizontal="right" vertical="center" wrapText="1" indent="1"/>
    </xf>
    <xf numFmtId="4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4" fontId="31" fillId="0" borderId="1" xfId="1" applyNumberFormat="1" applyFont="1" applyFill="1" applyBorder="1" applyAlignment="1">
      <alignment horizontal="right" vertical="center" indent="1"/>
    </xf>
    <xf numFmtId="4" fontId="9" fillId="0" borderId="1" xfId="0" applyNumberFormat="1" applyFont="1" applyBorder="1" applyAlignment="1">
      <alignment horizontal="right" indent="1"/>
    </xf>
    <xf numFmtId="165" fontId="9" fillId="0" borderId="0" xfId="1" applyFont="1"/>
    <xf numFmtId="165" fontId="10" fillId="0" borderId="0" xfId="0" applyNumberFormat="1" applyFont="1"/>
    <xf numFmtId="165" fontId="10" fillId="0" borderId="0" xfId="0" applyNumberFormat="1" applyFont="1" applyAlignment="1">
      <alignment vertical="center"/>
    </xf>
    <xf numFmtId="2" fontId="31" fillId="0" borderId="1" xfId="0" applyNumberFormat="1" applyFont="1" applyBorder="1" applyAlignment="1">
      <alignment horizontal="left" vertical="center"/>
    </xf>
    <xf numFmtId="2" fontId="31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Border="1" applyAlignment="1">
      <alignment vertical="center" wrapText="1"/>
    </xf>
    <xf numFmtId="2" fontId="0" fillId="0" borderId="0" xfId="0" applyNumberFormat="1"/>
    <xf numFmtId="0" fontId="37" fillId="5" borderId="16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/>
    <xf numFmtId="0" fontId="37" fillId="6" borderId="1" xfId="0" applyFont="1" applyFill="1" applyBorder="1" applyAlignment="1">
      <alignment horizontal="center" vertical="center"/>
    </xf>
    <xf numFmtId="0" fontId="37" fillId="6" borderId="0" xfId="0" applyFont="1" applyFill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38" fillId="8" borderId="1" xfId="0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8" fillId="4" borderId="1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7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7" fillId="2" borderId="16" xfId="0" applyFont="1" applyFill="1" applyBorder="1" applyAlignment="1">
      <alignment horizontal="center" vertical="center"/>
    </xf>
    <xf numFmtId="0" fontId="37" fillId="12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1" borderId="1" xfId="0" applyFont="1" applyFill="1" applyBorder="1" applyAlignment="1">
      <alignment horizontal="center" vertical="center"/>
    </xf>
    <xf numFmtId="0" fontId="38" fillId="12" borderId="1" xfId="0" applyFont="1" applyFill="1" applyBorder="1" applyAlignment="1">
      <alignment horizontal="center" vertical="center"/>
    </xf>
    <xf numFmtId="165" fontId="39" fillId="0" borderId="1" xfId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 indent="1"/>
    </xf>
    <xf numFmtId="165" fontId="39" fillId="0" borderId="1" xfId="1" applyFont="1" applyFill="1" applyBorder="1" applyAlignment="1">
      <alignment horizontal="center" vertical="center"/>
    </xf>
    <xf numFmtId="165" fontId="39" fillId="0" borderId="1" xfId="1" applyFont="1" applyBorder="1" applyAlignment="1">
      <alignment vertical="center"/>
    </xf>
    <xf numFmtId="165" fontId="39" fillId="0" borderId="1" xfId="1" applyFont="1" applyFill="1" applyBorder="1" applyAlignment="1">
      <alignment horizontal="right" vertical="center"/>
    </xf>
    <xf numFmtId="165" fontId="39" fillId="0" borderId="1" xfId="1" applyFont="1" applyBorder="1" applyAlignment="1">
      <alignment horizontal="right" vertical="center"/>
    </xf>
    <xf numFmtId="165" fontId="39" fillId="0" borderId="21" xfId="1" applyFont="1" applyBorder="1" applyAlignment="1">
      <alignment vertical="center"/>
    </xf>
    <xf numFmtId="165" fontId="39" fillId="2" borderId="1" xfId="1" applyFont="1" applyFill="1" applyBorder="1" applyAlignment="1">
      <alignment horizontal="right" vertical="center"/>
    </xf>
    <xf numFmtId="165" fontId="39" fillId="2" borderId="1" xfId="1" applyFont="1" applyFill="1" applyBorder="1" applyAlignment="1">
      <alignment horizontal="center" vertical="center"/>
    </xf>
    <xf numFmtId="165" fontId="39" fillId="0" borderId="0" xfId="0" applyNumberFormat="1" applyFont="1"/>
    <xf numFmtId="0" fontId="39" fillId="0" borderId="0" xfId="0" applyFont="1" applyAlignment="1">
      <alignment horizontal="left"/>
    </xf>
    <xf numFmtId="165" fontId="39" fillId="0" borderId="0" xfId="0" applyNumberFormat="1" applyFont="1" applyAlignment="1">
      <alignment horizontal="center"/>
    </xf>
    <xf numFmtId="2" fontId="39" fillId="0" borderId="0" xfId="0" applyNumberFormat="1" applyFont="1" applyAlignment="1">
      <alignment horizontal="center"/>
    </xf>
    <xf numFmtId="0" fontId="41" fillId="0" borderId="0" xfId="0" applyFont="1"/>
    <xf numFmtId="0" fontId="41" fillId="0" borderId="0" xfId="0" applyFont="1" applyAlignment="1">
      <alignment horizontal="left" wrapText="1"/>
    </xf>
    <xf numFmtId="165" fontId="41" fillId="0" borderId="0" xfId="0" applyNumberFormat="1" applyFont="1" applyAlignment="1">
      <alignment horizontal="center"/>
    </xf>
    <xf numFmtId="2" fontId="41" fillId="0" borderId="0" xfId="0" applyNumberFormat="1" applyFont="1" applyAlignment="1">
      <alignment horizontal="center"/>
    </xf>
    <xf numFmtId="165" fontId="41" fillId="0" borderId="0" xfId="0" applyNumberFormat="1" applyFont="1"/>
    <xf numFmtId="165" fontId="40" fillId="0" borderId="0" xfId="0" applyNumberFormat="1" applyFont="1"/>
    <xf numFmtId="165" fontId="42" fillId="0" borderId="0" xfId="0" applyNumberFormat="1" applyFont="1"/>
    <xf numFmtId="0" fontId="42" fillId="0" borderId="0" xfId="0" applyFont="1"/>
    <xf numFmtId="0" fontId="41" fillId="0" borderId="0" xfId="0" applyFont="1" applyAlignment="1">
      <alignment horizontal="left" vertical="center" wrapText="1"/>
    </xf>
    <xf numFmtId="0" fontId="43" fillId="0" borderId="0" xfId="0" applyFont="1"/>
    <xf numFmtId="0" fontId="44" fillId="0" borderId="0" xfId="0" applyFont="1" applyAlignment="1">
      <alignment horizontal="left" vertical="center" wrapText="1"/>
    </xf>
    <xf numFmtId="0" fontId="40" fillId="0" borderId="0" xfId="0" applyFont="1"/>
    <xf numFmtId="2" fontId="41" fillId="0" borderId="0" xfId="0" applyNumberFormat="1" applyFont="1"/>
    <xf numFmtId="165" fontId="42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165" fontId="40" fillId="0" borderId="0" xfId="0" applyNumberFormat="1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 wrapText="1"/>
    </xf>
    <xf numFmtId="165" fontId="47" fillId="0" borderId="0" xfId="0" applyNumberFormat="1" applyFont="1" applyAlignment="1">
      <alignment horizontal="center"/>
    </xf>
    <xf numFmtId="2" fontId="47" fillId="0" borderId="0" xfId="0" applyNumberFormat="1" applyFont="1" applyAlignment="1">
      <alignment horizontal="center"/>
    </xf>
    <xf numFmtId="165" fontId="47" fillId="0" borderId="0" xfId="0" applyNumberFormat="1" applyFont="1"/>
    <xf numFmtId="165" fontId="45" fillId="0" borderId="0" xfId="0" applyNumberFormat="1" applyFont="1"/>
    <xf numFmtId="165" fontId="45" fillId="0" borderId="0" xfId="1" applyFont="1"/>
    <xf numFmtId="165" fontId="45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165" fontId="45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165" fontId="49" fillId="0" borderId="0" xfId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165" fontId="49" fillId="0" borderId="0" xfId="1" applyFont="1"/>
    <xf numFmtId="0" fontId="49" fillId="0" borderId="0" xfId="0" applyFont="1"/>
    <xf numFmtId="0" fontId="50" fillId="0" borderId="0" xfId="0" applyFont="1"/>
    <xf numFmtId="165" fontId="49" fillId="0" borderId="0" xfId="1" applyFont="1" applyAlignment="1">
      <alignment vertical="center"/>
    </xf>
    <xf numFmtId="0" fontId="49" fillId="0" borderId="0" xfId="0" applyFont="1" applyAlignment="1">
      <alignment vertical="center"/>
    </xf>
    <xf numFmtId="165" fontId="45" fillId="4" borderId="1" xfId="0" applyNumberFormat="1" applyFont="1" applyFill="1" applyBorder="1" applyAlignment="1">
      <alignment horizontal="center" vertical="center"/>
    </xf>
    <xf numFmtId="2" fontId="45" fillId="4" borderId="1" xfId="0" applyNumberFormat="1" applyFont="1" applyFill="1" applyBorder="1" applyAlignment="1">
      <alignment horizontal="center" vertical="center"/>
    </xf>
    <xf numFmtId="165" fontId="45" fillId="4" borderId="1" xfId="0" applyNumberFormat="1" applyFont="1" applyFill="1" applyBorder="1" applyAlignment="1">
      <alignment vertical="center"/>
    </xf>
    <xf numFmtId="165" fontId="51" fillId="4" borderId="1" xfId="1" applyFont="1" applyFill="1" applyBorder="1" applyAlignment="1">
      <alignment horizontal="right" vertical="center" indent="1"/>
    </xf>
    <xf numFmtId="165" fontId="45" fillId="4" borderId="1" xfId="1" applyFont="1" applyFill="1" applyBorder="1" applyAlignment="1">
      <alignment horizontal="right" vertical="center" indent="1"/>
    </xf>
    <xf numFmtId="165" fontId="51" fillId="4" borderId="1" xfId="1" applyFont="1" applyFill="1" applyBorder="1" applyAlignment="1">
      <alignment horizontal="right" vertical="center" indent="2"/>
    </xf>
    <xf numFmtId="165" fontId="45" fillId="4" borderId="21" xfId="0" applyNumberFormat="1" applyFont="1" applyFill="1" applyBorder="1"/>
    <xf numFmtId="165" fontId="45" fillId="0" borderId="0" xfId="1" applyFont="1" applyAlignment="1">
      <alignment vertical="center"/>
    </xf>
    <xf numFmtId="165" fontId="45" fillId="0" borderId="0" xfId="0" applyNumberFormat="1" applyFont="1" applyAlignment="1">
      <alignment vertical="center"/>
    </xf>
    <xf numFmtId="0" fontId="45" fillId="0" borderId="1" xfId="0" applyFont="1" applyBorder="1" applyAlignment="1">
      <alignment horizontal="left" vertical="center" wrapText="1" indent="1"/>
    </xf>
    <xf numFmtId="165" fontId="45" fillId="0" borderId="1" xfId="1" applyFont="1" applyFill="1" applyBorder="1" applyAlignment="1">
      <alignment horizontal="center" vertical="center"/>
    </xf>
    <xf numFmtId="165" fontId="45" fillId="0" borderId="0" xfId="1" applyFont="1" applyFill="1" applyAlignment="1">
      <alignment vertical="center"/>
    </xf>
    <xf numFmtId="2" fontId="45" fillId="0" borderId="1" xfId="0" applyNumberFormat="1" applyFont="1" applyBorder="1" applyAlignment="1">
      <alignment horizontal="center" vertical="center"/>
    </xf>
    <xf numFmtId="165" fontId="45" fillId="0" borderId="1" xfId="0" applyNumberFormat="1" applyFont="1" applyBorder="1" applyAlignment="1">
      <alignment horizontal="center" vertical="center"/>
    </xf>
    <xf numFmtId="165" fontId="45" fillId="0" borderId="1" xfId="5" applyNumberFormat="1" applyFont="1" applyFill="1" applyBorder="1" applyAlignment="1">
      <alignment vertical="center"/>
    </xf>
    <xf numFmtId="165" fontId="45" fillId="0" borderId="1" xfId="1" applyFont="1" applyFill="1" applyBorder="1" applyAlignment="1">
      <alignment horizontal="right" vertical="center" indent="1"/>
    </xf>
    <xf numFmtId="165" fontId="45" fillId="0" borderId="1" xfId="0" applyNumberFormat="1" applyFont="1" applyBorder="1" applyAlignment="1">
      <alignment vertical="center"/>
    </xf>
    <xf numFmtId="165" fontId="45" fillId="0" borderId="21" xfId="0" applyNumberFormat="1" applyFont="1" applyBorder="1" applyAlignment="1">
      <alignment horizontal="center" vertical="center"/>
    </xf>
    <xf numFmtId="4" fontId="47" fillId="0" borderId="0" xfId="0" applyNumberFormat="1" applyFont="1"/>
    <xf numFmtId="167" fontId="53" fillId="0" borderId="0" xfId="0" applyNumberFormat="1" applyFont="1"/>
    <xf numFmtId="4" fontId="47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167" fontId="54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167" fontId="55" fillId="0" borderId="0" xfId="0" applyNumberFormat="1" applyFont="1" applyAlignment="1">
      <alignment horizontal="center" vertical="center"/>
    </xf>
    <xf numFmtId="0" fontId="45" fillId="0" borderId="27" xfId="0" applyFont="1" applyBorder="1" applyAlignment="1">
      <alignment horizontal="left" vertical="center" indent="1"/>
    </xf>
    <xf numFmtId="0" fontId="45" fillId="3" borderId="1" xfId="0" applyFont="1" applyFill="1" applyBorder="1" applyAlignment="1">
      <alignment horizontal="left" wrapText="1"/>
    </xf>
    <xf numFmtId="165" fontId="45" fillId="0" borderId="21" xfId="1" applyFont="1" applyFill="1" applyBorder="1" applyAlignment="1">
      <alignment horizontal="center" vertical="center"/>
    </xf>
    <xf numFmtId="167" fontId="54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5" fontId="45" fillId="0" borderId="21" xfId="1" applyFont="1" applyFill="1" applyBorder="1" applyAlignment="1">
      <alignment vertical="center" wrapText="1"/>
    </xf>
    <xf numFmtId="165" fontId="45" fillId="0" borderId="25" xfId="1" applyFont="1" applyFill="1" applyBorder="1" applyAlignment="1">
      <alignment vertical="center" wrapText="1"/>
    </xf>
    <xf numFmtId="0" fontId="46" fillId="0" borderId="20" xfId="0" applyFont="1" applyBorder="1" applyAlignment="1">
      <alignment horizontal="left" vertical="center" wrapText="1" indent="1"/>
    </xf>
    <xf numFmtId="0" fontId="46" fillId="0" borderId="20" xfId="0" applyFont="1" applyBorder="1" applyAlignment="1">
      <alignment horizontal="right" vertical="center" wrapText="1"/>
    </xf>
    <xf numFmtId="165" fontId="46" fillId="0" borderId="20" xfId="1" applyFont="1" applyFill="1" applyBorder="1" applyAlignment="1">
      <alignment horizontal="right" wrapText="1"/>
    </xf>
    <xf numFmtId="165" fontId="46" fillId="0" borderId="20" xfId="1" applyFont="1" applyFill="1" applyBorder="1" applyAlignment="1">
      <alignment vertical="center" wrapText="1"/>
    </xf>
    <xf numFmtId="165" fontId="46" fillId="0" borderId="0" xfId="1" applyFont="1" applyFill="1" applyBorder="1" applyAlignment="1">
      <alignment horizontal="right" wrapText="1"/>
    </xf>
    <xf numFmtId="165" fontId="46" fillId="0" borderId="0" xfId="1" applyFont="1" applyFill="1" applyBorder="1" applyAlignment="1">
      <alignment vertical="center" wrapText="1"/>
    </xf>
    <xf numFmtId="165" fontId="56" fillId="0" borderId="0" xfId="0" applyNumberFormat="1" applyFont="1" applyAlignment="1">
      <alignment horizontal="center"/>
    </xf>
    <xf numFmtId="165" fontId="56" fillId="0" borderId="0" xfId="0" applyNumberFormat="1" applyFont="1"/>
    <xf numFmtId="165" fontId="48" fillId="0" borderId="0" xfId="0" applyNumberFormat="1" applyFont="1"/>
    <xf numFmtId="165" fontId="57" fillId="0" borderId="0" xfId="0" applyNumberFormat="1" applyFont="1"/>
    <xf numFmtId="165" fontId="58" fillId="0" borderId="0" xfId="0" applyNumberFormat="1" applyFont="1"/>
    <xf numFmtId="2" fontId="56" fillId="0" borderId="0" xfId="0" applyNumberFormat="1" applyFont="1"/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left"/>
    </xf>
    <xf numFmtId="2" fontId="56" fillId="0" borderId="0" xfId="0" applyNumberFormat="1" applyFont="1" applyAlignment="1">
      <alignment horizontal="center"/>
    </xf>
    <xf numFmtId="0" fontId="45" fillId="0" borderId="0" xfId="0" applyFont="1" applyAlignment="1">
      <alignment horizontal="left" wrapText="1"/>
    </xf>
    <xf numFmtId="0" fontId="54" fillId="3" borderId="1" xfId="7" applyFont="1" applyFill="1" applyBorder="1" applyAlignment="1">
      <alignment horizontal="left" wrapText="1" indent="2"/>
    </xf>
    <xf numFmtId="165" fontId="45" fillId="0" borderId="1" xfId="6" applyNumberFormat="1" applyFont="1" applyFill="1" applyBorder="1" applyAlignment="1">
      <alignment horizontal="right" vertical="center" indent="1"/>
    </xf>
    <xf numFmtId="165" fontId="45" fillId="0" borderId="1" xfId="1" applyFont="1" applyFill="1" applyBorder="1" applyAlignment="1">
      <alignment horizontal="right" vertical="center" indent="2"/>
    </xf>
    <xf numFmtId="165" fontId="45" fillId="0" borderId="21" xfId="1" applyFont="1" applyBorder="1" applyAlignment="1">
      <alignment horizontal="center" vertical="center"/>
    </xf>
    <xf numFmtId="0" fontId="46" fillId="0" borderId="27" xfId="0" applyFont="1" applyBorder="1" applyAlignment="1">
      <alignment horizontal="left" vertical="center" indent="1"/>
    </xf>
    <xf numFmtId="165" fontId="46" fillId="2" borderId="1" xfId="1" applyFont="1" applyFill="1" applyBorder="1" applyAlignment="1">
      <alignment vertical="center"/>
    </xf>
    <xf numFmtId="165" fontId="46" fillId="2" borderId="1" xfId="1" applyFont="1" applyFill="1" applyBorder="1" applyAlignment="1">
      <alignment horizontal="center" vertical="center"/>
    </xf>
    <xf numFmtId="165" fontId="56" fillId="0" borderId="21" xfId="0" applyNumberFormat="1" applyFont="1" applyBorder="1" applyAlignment="1">
      <alignment horizontal="center" vertical="center"/>
    </xf>
    <xf numFmtId="165" fontId="46" fillId="0" borderId="1" xfId="1" applyFont="1" applyBorder="1" applyAlignment="1">
      <alignment horizontal="center" vertical="center" wrapText="1"/>
    </xf>
    <xf numFmtId="165" fontId="46" fillId="0" borderId="1" xfId="1" applyFont="1" applyBorder="1" applyAlignment="1">
      <alignment horizontal="center" vertical="center"/>
    </xf>
    <xf numFmtId="165" fontId="46" fillId="0" borderId="21" xfId="1" applyFont="1" applyBorder="1" applyAlignment="1">
      <alignment horizontal="center"/>
    </xf>
    <xf numFmtId="165" fontId="47" fillId="0" borderId="1" xfId="1" applyFont="1" applyBorder="1" applyAlignment="1">
      <alignment horizontal="center" vertical="center"/>
    </xf>
    <xf numFmtId="0" fontId="47" fillId="0" borderId="1" xfId="1" applyNumberFormat="1" applyFont="1" applyBorder="1" applyAlignment="1">
      <alignment horizontal="center" vertical="center"/>
    </xf>
    <xf numFmtId="0" fontId="47" fillId="0" borderId="1" xfId="1" applyNumberFormat="1" applyFont="1" applyBorder="1" applyAlignment="1">
      <alignment horizontal="center"/>
    </xf>
    <xf numFmtId="0" fontId="47" fillId="0" borderId="21" xfId="1" applyNumberFormat="1" applyFont="1" applyBorder="1" applyAlignment="1">
      <alignment horizontal="center"/>
    </xf>
    <xf numFmtId="165" fontId="47" fillId="0" borderId="1" xfId="1" applyFont="1" applyBorder="1" applyAlignment="1">
      <alignment horizontal="center"/>
    </xf>
    <xf numFmtId="165" fontId="47" fillId="3" borderId="1" xfId="1" applyFont="1" applyFill="1" applyBorder="1" applyAlignment="1">
      <alignment horizontal="center"/>
    </xf>
    <xf numFmtId="165" fontId="47" fillId="3" borderId="21" xfId="1" applyFont="1" applyFill="1" applyBorder="1" applyAlignment="1">
      <alignment horizontal="center"/>
    </xf>
    <xf numFmtId="0" fontId="39" fillId="0" borderId="0" xfId="0" applyFont="1" applyAlignment="1">
      <alignment horizontal="right" vertical="center" wrapText="1"/>
    </xf>
    <xf numFmtId="165" fontId="39" fillId="0" borderId="0" xfId="1" applyFont="1" applyFill="1" applyBorder="1" applyAlignment="1">
      <alignment horizontal="right" wrapText="1"/>
    </xf>
    <xf numFmtId="165" fontId="40" fillId="0" borderId="0" xfId="0" applyNumberFormat="1" applyFont="1" applyAlignment="1">
      <alignment vertical="center"/>
    </xf>
    <xf numFmtId="165" fontId="46" fillId="2" borderId="1" xfId="1" applyFont="1" applyFill="1" applyBorder="1" applyAlignment="1">
      <alignment horizontal="right" vertical="center" indent="2"/>
    </xf>
    <xf numFmtId="0" fontId="39" fillId="0" borderId="1" xfId="1" applyNumberFormat="1" applyFont="1" applyFill="1" applyBorder="1" applyAlignment="1">
      <alignment horizontal="left" vertical="center" wrapText="1" indent="1"/>
    </xf>
    <xf numFmtId="0" fontId="45" fillId="4" borderId="1" xfId="0" applyFont="1" applyFill="1" applyBorder="1" applyAlignment="1">
      <alignment horizontal="left" vertical="center" wrapText="1" indent="1"/>
    </xf>
    <xf numFmtId="0" fontId="59" fillId="0" borderId="0" xfId="0" applyFont="1"/>
    <xf numFmtId="0" fontId="59" fillId="0" borderId="1" xfId="0" applyFont="1" applyBorder="1" applyAlignment="1">
      <alignment horizontal="center" vertical="center" wrapText="1"/>
    </xf>
    <xf numFmtId="168" fontId="60" fillId="13" borderId="1" xfId="0" applyNumberFormat="1" applyFont="1" applyFill="1" applyBorder="1" applyAlignment="1">
      <alignment horizontal="right" vertical="center" wrapText="1"/>
    </xf>
    <xf numFmtId="0" fontId="60" fillId="13" borderId="1" xfId="0" applyFont="1" applyFill="1" applyBorder="1" applyAlignment="1">
      <alignment vertical="center" wrapText="1"/>
    </xf>
    <xf numFmtId="0" fontId="59" fillId="13" borderId="1" xfId="0" applyFont="1" applyFill="1" applyBorder="1" applyAlignment="1">
      <alignment horizontal="center" vertical="center" wrapText="1"/>
    </xf>
    <xf numFmtId="169" fontId="59" fillId="0" borderId="1" xfId="0" applyNumberFormat="1" applyFont="1" applyBorder="1" applyAlignment="1">
      <alignment horizontal="center" vertical="center"/>
    </xf>
    <xf numFmtId="0" fontId="59" fillId="0" borderId="1" xfId="3" applyNumberFormat="1" applyFont="1" applyFill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/>
    </xf>
    <xf numFmtId="49" fontId="59" fillId="0" borderId="1" xfId="0" applyNumberFormat="1" applyFont="1" applyBorder="1" applyAlignment="1">
      <alignment horizontal="center" vertical="center"/>
    </xf>
    <xf numFmtId="165" fontId="59" fillId="0" borderId="1" xfId="1" applyFont="1" applyBorder="1" applyAlignment="1">
      <alignment horizontal="center" vertical="center"/>
    </xf>
    <xf numFmtId="0" fontId="59" fillId="0" borderId="1" xfId="0" applyFont="1" applyBorder="1" applyAlignment="1">
      <alignment horizontal="right" vertical="center" wrapText="1"/>
    </xf>
    <xf numFmtId="165" fontId="59" fillId="0" borderId="1" xfId="1" applyFont="1" applyBorder="1" applyAlignment="1">
      <alignment horizontal="center" vertical="center" wrapText="1"/>
    </xf>
    <xf numFmtId="165" fontId="59" fillId="0" borderId="1" xfId="1" applyFont="1" applyBorder="1" applyAlignment="1">
      <alignment horizontal="right" vertical="center" wrapText="1"/>
    </xf>
    <xf numFmtId="43" fontId="59" fillId="0" borderId="1" xfId="0" applyNumberFormat="1" applyFont="1" applyBorder="1" applyAlignment="1">
      <alignment horizontal="center" vertical="center" wrapText="1"/>
    </xf>
    <xf numFmtId="165" fontId="59" fillId="0" borderId="1" xfId="1" applyFont="1" applyBorder="1" applyAlignment="1">
      <alignment vertical="center" wrapText="1"/>
    </xf>
    <xf numFmtId="165" fontId="59" fillId="14" borderId="1" xfId="1" applyFont="1" applyFill="1" applyBorder="1" applyAlignment="1">
      <alignment horizontal="center" vertical="center" wrapText="1"/>
    </xf>
    <xf numFmtId="165" fontId="59" fillId="0" borderId="0" xfId="1" applyFont="1" applyBorder="1" applyAlignment="1">
      <alignment horizontal="right" vertical="center" wrapText="1" indent="2"/>
    </xf>
    <xf numFmtId="165" fontId="59" fillId="0" borderId="0" xfId="1" applyFont="1" applyBorder="1" applyAlignment="1">
      <alignment horizontal="center" vertical="center" wrapText="1"/>
    </xf>
    <xf numFmtId="0" fontId="61" fillId="0" borderId="0" xfId="0" applyFont="1"/>
    <xf numFmtId="170" fontId="39" fillId="0" borderId="27" xfId="0" applyNumberFormat="1" applyFont="1" applyBorder="1" applyAlignment="1">
      <alignment horizontal="right" vertical="center" indent="1"/>
    </xf>
    <xf numFmtId="170" fontId="46" fillId="4" borderId="27" xfId="0" applyNumberFormat="1" applyFont="1" applyFill="1" applyBorder="1" applyAlignment="1">
      <alignment horizontal="center" vertical="center"/>
    </xf>
    <xf numFmtId="170" fontId="45" fillId="0" borderId="27" xfId="0" applyNumberFormat="1" applyFont="1" applyBorder="1" applyAlignment="1">
      <alignment horizontal="left" vertical="center"/>
    </xf>
    <xf numFmtId="170" fontId="45" fillId="0" borderId="27" xfId="0" applyNumberFormat="1" applyFont="1" applyBorder="1" applyAlignment="1">
      <alignment horizontal="left" vertical="center" indent="1"/>
    </xf>
    <xf numFmtId="165" fontId="0" fillId="0" borderId="0" xfId="0" applyNumberFormat="1"/>
    <xf numFmtId="0" fontId="38" fillId="15" borderId="33" xfId="0" applyFont="1" applyFill="1" applyBorder="1" applyAlignment="1">
      <alignment horizontal="center" vertical="center"/>
    </xf>
    <xf numFmtId="0" fontId="38" fillId="15" borderId="34" xfId="0" applyFont="1" applyFill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1" fontId="38" fillId="5" borderId="0" xfId="0" applyNumberFormat="1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46" fillId="4" borderId="1" xfId="0" applyFont="1" applyFill="1" applyBorder="1" applyAlignment="1">
      <alignment horizontal="left" vertical="center" wrapText="1" indent="1"/>
    </xf>
    <xf numFmtId="0" fontId="39" fillId="0" borderId="0" xfId="0" applyFont="1" applyAlignment="1">
      <alignment horizontal="center" vertical="center" wrapText="1"/>
    </xf>
    <xf numFmtId="165" fontId="40" fillId="0" borderId="0" xfId="0" applyNumberFormat="1" applyFont="1" applyAlignment="1">
      <alignment horizontal="left" vertical="center"/>
    </xf>
    <xf numFmtId="0" fontId="38" fillId="2" borderId="0" xfId="0" applyFont="1" applyFill="1" applyAlignment="1">
      <alignment horizontal="center" vertical="center"/>
    </xf>
    <xf numFmtId="0" fontId="38" fillId="2" borderId="20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8" fillId="2" borderId="0" xfId="0" applyFont="1" applyFill="1"/>
    <xf numFmtId="0" fontId="41" fillId="0" borderId="0" xfId="0" applyFont="1" applyAlignment="1">
      <alignment horizontal="left"/>
    </xf>
    <xf numFmtId="0" fontId="46" fillId="0" borderId="0" xfId="0" applyFont="1" applyAlignment="1">
      <alignment horizontal="left" vertical="center" wrapText="1" indent="1"/>
    </xf>
    <xf numFmtId="0" fontId="46" fillId="0" borderId="0" xfId="0" applyFont="1" applyAlignment="1">
      <alignment horizontal="right" vertical="center" wrapText="1"/>
    </xf>
    <xf numFmtId="165" fontId="46" fillId="0" borderId="0" xfId="1" applyFont="1"/>
    <xf numFmtId="10" fontId="46" fillId="0" borderId="0" xfId="1" applyNumberFormat="1" applyFont="1" applyFill="1" applyBorder="1" applyAlignment="1">
      <alignment horizontal="right" wrapText="1"/>
    </xf>
    <xf numFmtId="167" fontId="52" fillId="0" borderId="15" xfId="0" applyNumberFormat="1" applyFont="1" applyBorder="1" applyAlignment="1">
      <alignment horizontal="center"/>
    </xf>
    <xf numFmtId="167" fontId="52" fillId="0" borderId="17" xfId="0" applyNumberFormat="1" applyFont="1" applyBorder="1" applyAlignment="1">
      <alignment horizontal="center"/>
    </xf>
    <xf numFmtId="167" fontId="52" fillId="0" borderId="16" xfId="0" applyNumberFormat="1" applyFont="1" applyBorder="1" applyAlignment="1">
      <alignment horizontal="center"/>
    </xf>
    <xf numFmtId="0" fontId="59" fillId="0" borderId="1" xfId="0" applyFont="1" applyBorder="1" applyAlignment="1">
      <alignment horizontal="left" vertical="center" wrapText="1"/>
    </xf>
    <xf numFmtId="1" fontId="0" fillId="0" borderId="0" xfId="0" applyNumberFormat="1"/>
    <xf numFmtId="49" fontId="0" fillId="0" borderId="0" xfId="0" applyNumberFormat="1"/>
    <xf numFmtId="171" fontId="0" fillId="0" borderId="0" xfId="5" applyNumberFormat="1" applyFont="1" applyAlignment="1">
      <alignment horizontal="center"/>
    </xf>
    <xf numFmtId="171" fontId="0" fillId="0" borderId="0" xfId="5" applyNumberFormat="1" applyFont="1"/>
    <xf numFmtId="2" fontId="59" fillId="0" borderId="1" xfId="0" applyNumberFormat="1" applyFont="1" applyBorder="1" applyAlignment="1">
      <alignment horizontal="center" vertical="center"/>
    </xf>
    <xf numFmtId="165" fontId="59" fillId="0" borderId="44" xfId="1" applyFont="1" applyBorder="1" applyAlignment="1">
      <alignment vertical="center" wrapText="1"/>
    </xf>
    <xf numFmtId="165" fontId="59" fillId="0" borderId="0" xfId="1" applyFont="1" applyBorder="1" applyAlignment="1">
      <alignment vertical="center" wrapText="1"/>
    </xf>
    <xf numFmtId="165" fontId="61" fillId="0" borderId="0" xfId="1" applyFont="1" applyBorder="1" applyAlignment="1">
      <alignment horizontal="center" vertical="center" wrapText="1"/>
    </xf>
    <xf numFmtId="0" fontId="59" fillId="0" borderId="1" xfId="0" applyFont="1" applyBorder="1"/>
    <xf numFmtId="165" fontId="46" fillId="0" borderId="22" xfId="1" applyFont="1" applyBorder="1" applyAlignment="1">
      <alignment horizontal="center" vertical="center"/>
    </xf>
    <xf numFmtId="165" fontId="46" fillId="0" borderId="1" xfId="1" applyFont="1" applyBorder="1" applyAlignment="1">
      <alignment horizontal="center" vertical="center"/>
    </xf>
    <xf numFmtId="165" fontId="47" fillId="0" borderId="0" xfId="0" applyNumberFormat="1" applyFont="1" applyAlignment="1">
      <alignment horizontal="center"/>
    </xf>
    <xf numFmtId="165" fontId="46" fillId="0" borderId="0" xfId="0" applyNumberFormat="1" applyFont="1" applyAlignment="1">
      <alignment horizontal="center" vertical="center"/>
    </xf>
    <xf numFmtId="165" fontId="45" fillId="0" borderId="0" xfId="0" applyNumberFormat="1" applyFont="1" applyAlignment="1">
      <alignment horizontal="center" vertical="center"/>
    </xf>
    <xf numFmtId="165" fontId="46" fillId="0" borderId="28" xfId="0" applyNumberFormat="1" applyFont="1" applyBorder="1" applyAlignment="1">
      <alignment horizontal="right" vertical="center" wrapText="1" indent="1"/>
    </xf>
    <xf numFmtId="165" fontId="46" fillId="0" borderId="29" xfId="0" applyNumberFormat="1" applyFont="1" applyBorder="1" applyAlignment="1">
      <alignment horizontal="right" vertical="center" wrapText="1" indent="1"/>
    </xf>
    <xf numFmtId="165" fontId="46" fillId="0" borderId="24" xfId="1" applyFont="1" applyFill="1" applyBorder="1" applyAlignment="1">
      <alignment horizontal="right" wrapText="1"/>
    </xf>
    <xf numFmtId="165" fontId="40" fillId="0" borderId="0" xfId="0" applyNumberFormat="1" applyFont="1" applyAlignment="1">
      <alignment horizontal="left" vertical="center"/>
    </xf>
    <xf numFmtId="165" fontId="46" fillId="0" borderId="22" xfId="1" applyFont="1" applyBorder="1" applyAlignment="1">
      <alignment horizontal="center" vertical="center" wrapText="1"/>
    </xf>
    <xf numFmtId="165" fontId="46" fillId="0" borderId="1" xfId="1" applyFont="1" applyBorder="1" applyAlignment="1">
      <alignment horizontal="center" vertical="center" wrapText="1"/>
    </xf>
    <xf numFmtId="165" fontId="46" fillId="0" borderId="23" xfId="1" applyFont="1" applyBorder="1" applyAlignment="1">
      <alignment horizontal="center" vertical="center" wrapText="1"/>
    </xf>
    <xf numFmtId="165" fontId="46" fillId="0" borderId="21" xfId="1" applyFont="1" applyBorder="1" applyAlignment="1">
      <alignment horizontal="center" vertical="center" wrapText="1"/>
    </xf>
    <xf numFmtId="165" fontId="46" fillId="0" borderId="30" xfId="0" applyNumberFormat="1" applyFont="1" applyBorder="1" applyAlignment="1">
      <alignment horizontal="right" vertical="center" wrapText="1" indent="1"/>
    </xf>
    <xf numFmtId="165" fontId="46" fillId="0" borderId="16" xfId="0" applyNumberFormat="1" applyFont="1" applyBorder="1" applyAlignment="1">
      <alignment horizontal="right" vertical="center" wrapText="1" indent="1"/>
    </xf>
    <xf numFmtId="165" fontId="46" fillId="5" borderId="1" xfId="1" applyFont="1" applyFill="1" applyBorder="1" applyAlignment="1">
      <alignment horizontal="right" vertical="center" wrapText="1"/>
    </xf>
    <xf numFmtId="0" fontId="46" fillId="0" borderId="26" xfId="1" applyNumberFormat="1" applyFont="1" applyBorder="1" applyAlignment="1">
      <alignment horizontal="center" vertical="center" wrapText="1"/>
    </xf>
    <xf numFmtId="0" fontId="46" fillId="0" borderId="27" xfId="1" applyNumberFormat="1" applyFont="1" applyBorder="1" applyAlignment="1">
      <alignment horizontal="center" vertical="center" wrapText="1"/>
    </xf>
    <xf numFmtId="0" fontId="46" fillId="0" borderId="22" xfId="1" applyNumberFormat="1" applyFont="1" applyBorder="1" applyAlignment="1">
      <alignment horizontal="center" vertical="center"/>
    </xf>
    <xf numFmtId="0" fontId="46" fillId="0" borderId="1" xfId="1" applyNumberFormat="1" applyFont="1" applyBorder="1" applyAlignment="1">
      <alignment horizontal="center" vertical="center"/>
    </xf>
    <xf numFmtId="167" fontId="52" fillId="0" borderId="15" xfId="0" applyNumberFormat="1" applyFont="1" applyBorder="1" applyAlignment="1">
      <alignment horizontal="center"/>
    </xf>
    <xf numFmtId="167" fontId="52" fillId="0" borderId="17" xfId="0" applyNumberFormat="1" applyFont="1" applyBorder="1" applyAlignment="1">
      <alignment horizontal="center"/>
    </xf>
    <xf numFmtId="167" fontId="52" fillId="0" borderId="16" xfId="0" applyNumberFormat="1" applyFont="1" applyBorder="1" applyAlignment="1">
      <alignment horizontal="center"/>
    </xf>
    <xf numFmtId="4" fontId="2" fillId="0" borderId="0" xfId="40" applyNumberForma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vertical="center" wrapText="1"/>
    </xf>
    <xf numFmtId="165" fontId="59" fillId="0" borderId="1" xfId="1" applyFont="1" applyBorder="1" applyAlignment="1">
      <alignment horizontal="right" vertical="center" wrapText="1" indent="2"/>
    </xf>
    <xf numFmtId="2" fontId="59" fillId="0" borderId="1" xfId="0" applyNumberFormat="1" applyFont="1" applyBorder="1" applyAlignment="1">
      <alignment horizontal="right" vertical="center" wrapText="1"/>
    </xf>
    <xf numFmtId="0" fontId="59" fillId="0" borderId="1" xfId="0" applyFont="1" applyBorder="1" applyAlignment="1">
      <alignment horizontal="right" vertical="center" wrapText="1" indent="2"/>
    </xf>
    <xf numFmtId="165" fontId="59" fillId="0" borderId="1" xfId="1" applyFont="1" applyBorder="1" applyAlignment="1">
      <alignment horizontal="right" vertical="center" wrapText="1" indent="1"/>
    </xf>
    <xf numFmtId="165" fontId="59" fillId="0" borderId="1" xfId="1" applyFont="1" applyBorder="1" applyAlignment="1">
      <alignment horizontal="right" vertical="center" wrapText="1" indent="5"/>
    </xf>
    <xf numFmtId="0" fontId="59" fillId="0" borderId="0" xfId="0" applyFont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165" fontId="59" fillId="0" borderId="1" xfId="0" applyNumberFormat="1" applyFont="1" applyBorder="1" applyAlignment="1">
      <alignment horizontal="center" vertical="center" wrapText="1"/>
    </xf>
    <xf numFmtId="0" fontId="37" fillId="7" borderId="31" xfId="0" applyFont="1" applyFill="1" applyBorder="1" applyAlignment="1">
      <alignment horizontal="center" vertical="center"/>
    </xf>
    <xf numFmtId="0" fontId="37" fillId="7" borderId="32" xfId="0" applyFont="1" applyFill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43" xfId="0" applyFont="1" applyFill="1" applyBorder="1" applyAlignment="1">
      <alignment horizontal="center" vertical="center"/>
    </xf>
    <xf numFmtId="0" fontId="38" fillId="11" borderId="19" xfId="0" applyFont="1" applyFill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43" xfId="0" applyFont="1" applyFill="1" applyBorder="1" applyAlignment="1">
      <alignment horizontal="center" vertical="center"/>
    </xf>
    <xf numFmtId="0" fontId="38" fillId="10" borderId="19" xfId="0" applyFont="1" applyFill="1" applyBorder="1" applyAlignment="1">
      <alignment horizontal="center" vertical="center"/>
    </xf>
    <xf numFmtId="0" fontId="38" fillId="9" borderId="18" xfId="0" applyFont="1" applyFill="1" applyBorder="1" applyAlignment="1">
      <alignment horizontal="center" vertical="center"/>
    </xf>
    <xf numFmtId="0" fontId="38" fillId="9" borderId="43" xfId="0" applyFont="1" applyFill="1" applyBorder="1" applyAlignment="1">
      <alignment horizontal="center" vertical="center"/>
    </xf>
    <xf numFmtId="0" fontId="38" fillId="9" borderId="19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/>
    </xf>
    <xf numFmtId="2" fontId="10" fillId="0" borderId="15" xfId="0" applyNumberFormat="1" applyFont="1" applyBorder="1" applyAlignment="1">
      <alignment horizontal="left" vertical="center" wrapText="1" indent="2"/>
    </xf>
    <xf numFmtId="2" fontId="10" fillId="0" borderId="17" xfId="0" applyNumberFormat="1" applyFont="1" applyBorder="1" applyAlignment="1">
      <alignment horizontal="left" vertical="center" wrapText="1" indent="2"/>
    </xf>
    <xf numFmtId="2" fontId="10" fillId="0" borderId="16" xfId="0" applyNumberFormat="1" applyFont="1" applyBorder="1" applyAlignment="1">
      <alignment horizontal="left" vertical="center" wrapText="1" indent="2"/>
    </xf>
    <xf numFmtId="165" fontId="10" fillId="0" borderId="1" xfId="1" applyFont="1" applyBorder="1" applyAlignment="1">
      <alignment horizontal="right" vertical="center" wrapText="1" indent="2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right" vertical="center" wrapText="1" indent="1"/>
    </xf>
    <xf numFmtId="2" fontId="10" fillId="0" borderId="17" xfId="0" applyNumberFormat="1" applyFont="1" applyBorder="1" applyAlignment="1">
      <alignment horizontal="right" vertical="center" wrapText="1" indent="1"/>
    </xf>
    <xf numFmtId="2" fontId="10" fillId="0" borderId="16" xfId="0" applyNumberFormat="1" applyFont="1" applyBorder="1" applyAlignment="1">
      <alignment horizontal="right" vertical="center" wrapText="1" indent="1"/>
    </xf>
    <xf numFmtId="165" fontId="10" fillId="0" borderId="15" xfId="1" applyFont="1" applyBorder="1" applyAlignment="1">
      <alignment horizontal="center" vertical="center" wrapText="1"/>
    </xf>
    <xf numFmtId="165" fontId="10" fillId="0" borderId="17" xfId="1" applyFont="1" applyBorder="1" applyAlignment="1">
      <alignment horizontal="center" vertical="center" wrapText="1"/>
    </xf>
    <xf numFmtId="165" fontId="10" fillId="0" borderId="16" xfId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 wrapText="1"/>
    </xf>
    <xf numFmtId="4" fontId="10" fillId="0" borderId="19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5" xfId="1" applyFont="1" applyBorder="1" applyAlignment="1">
      <alignment horizontal="right" vertical="center" wrapText="1" indent="2"/>
    </xf>
    <xf numFmtId="165" fontId="10" fillId="0" borderId="17" xfId="1" applyFont="1" applyBorder="1" applyAlignment="1">
      <alignment horizontal="right" vertical="center" wrapText="1" indent="2"/>
    </xf>
    <xf numFmtId="165" fontId="10" fillId="0" borderId="16" xfId="1" applyFont="1" applyBorder="1" applyAlignment="1">
      <alignment horizontal="right" vertical="center" wrapText="1" indent="2"/>
    </xf>
    <xf numFmtId="0" fontId="10" fillId="0" borderId="1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14" fontId="15" fillId="0" borderId="0" xfId="2" applyNumberFormat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center"/>
    </xf>
    <xf numFmtId="0" fontId="27" fillId="0" borderId="13" xfId="2" applyFont="1" applyBorder="1" applyAlignment="1">
      <alignment horizontal="left" vertical="top" wrapText="1"/>
    </xf>
    <xf numFmtId="0" fontId="27" fillId="0" borderId="2" xfId="2" applyFont="1" applyBorder="1" applyAlignment="1">
      <alignment horizontal="left" vertical="top" wrapText="1"/>
    </xf>
    <xf numFmtId="0" fontId="27" fillId="0" borderId="12" xfId="2" applyFont="1" applyBorder="1" applyAlignment="1">
      <alignment horizontal="left" vertical="top" wrapText="1"/>
    </xf>
    <xf numFmtId="0" fontId="27" fillId="0" borderId="11" xfId="2" applyFont="1" applyBorder="1" applyAlignment="1">
      <alignment horizontal="left" vertical="top" wrapText="1"/>
    </xf>
    <xf numFmtId="0" fontId="27" fillId="0" borderId="0" xfId="2" applyFont="1" applyAlignment="1">
      <alignment horizontal="left" vertical="top" wrapText="1"/>
    </xf>
    <xf numFmtId="0" fontId="27" fillId="0" borderId="10" xfId="2" applyFont="1" applyBorder="1" applyAlignment="1">
      <alignment horizontal="left" vertical="top" wrapText="1"/>
    </xf>
    <xf numFmtId="0" fontId="27" fillId="0" borderId="9" xfId="2" applyFont="1" applyBorder="1" applyAlignment="1">
      <alignment horizontal="left" vertical="top" wrapText="1"/>
    </xf>
    <xf numFmtId="0" fontId="27" fillId="0" borderId="3" xfId="2" applyFont="1" applyBorder="1" applyAlignment="1">
      <alignment horizontal="left" vertical="top" wrapText="1"/>
    </xf>
    <xf numFmtId="0" fontId="27" fillId="0" borderId="8" xfId="2" applyFont="1" applyBorder="1" applyAlignment="1">
      <alignment horizontal="left" vertical="top" wrapText="1"/>
    </xf>
    <xf numFmtId="0" fontId="14" fillId="0" borderId="3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27" fillId="0" borderId="13" xfId="2" applyFont="1" applyBorder="1" applyAlignment="1">
      <alignment horizontal="left" vertical="top"/>
    </xf>
    <xf numFmtId="0" fontId="27" fillId="0" borderId="2" xfId="2" applyFont="1" applyBorder="1" applyAlignment="1">
      <alignment horizontal="left" vertical="top"/>
    </xf>
    <xf numFmtId="0" fontId="27" fillId="0" borderId="12" xfId="2" applyFont="1" applyBorder="1" applyAlignment="1">
      <alignment horizontal="left" vertical="top"/>
    </xf>
    <xf numFmtId="0" fontId="27" fillId="0" borderId="11" xfId="2" applyFont="1" applyBorder="1" applyAlignment="1">
      <alignment horizontal="left" vertical="top"/>
    </xf>
    <xf numFmtId="0" fontId="27" fillId="0" borderId="0" xfId="2" applyFont="1" applyAlignment="1">
      <alignment horizontal="left" vertical="top"/>
    </xf>
    <xf numFmtId="0" fontId="27" fillId="0" borderId="10" xfId="2" applyFont="1" applyBorder="1" applyAlignment="1">
      <alignment horizontal="left" vertical="top"/>
    </xf>
    <xf numFmtId="0" fontId="27" fillId="0" borderId="9" xfId="2" applyFont="1" applyBorder="1" applyAlignment="1">
      <alignment horizontal="left" vertical="top"/>
    </xf>
    <xf numFmtId="0" fontId="27" fillId="0" borderId="3" xfId="2" applyFont="1" applyBorder="1" applyAlignment="1">
      <alignment horizontal="left" vertical="top"/>
    </xf>
    <xf numFmtId="0" fontId="27" fillId="0" borderId="8" xfId="2" applyFont="1" applyBorder="1" applyAlignment="1">
      <alignment horizontal="left" vertical="top"/>
    </xf>
    <xf numFmtId="0" fontId="17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4" fontId="26" fillId="0" borderId="6" xfId="2" applyNumberFormat="1" applyFont="1" applyBorder="1" applyAlignment="1">
      <alignment horizontal="left" vertical="center"/>
    </xf>
    <xf numFmtId="0" fontId="26" fillId="0" borderId="6" xfId="2" applyFont="1" applyBorder="1" applyAlignment="1">
      <alignment horizontal="left" vertical="center"/>
    </xf>
    <xf numFmtId="4" fontId="26" fillId="0" borderId="6" xfId="2" applyNumberFormat="1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25" fillId="0" borderId="0" xfId="2" applyFont="1" applyAlignment="1">
      <alignment horizontal="left" vertical="center"/>
    </xf>
    <xf numFmtId="166" fontId="24" fillId="0" borderId="0" xfId="3" applyFont="1" applyBorder="1" applyAlignment="1">
      <alignment vertical="center"/>
    </xf>
    <xf numFmtId="0" fontId="24" fillId="0" borderId="0" xfId="2" applyFont="1" applyAlignment="1">
      <alignment horizontal="left" vertical="center"/>
    </xf>
    <xf numFmtId="0" fontId="20" fillId="0" borderId="0" xfId="2" applyFont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horizontal="left" vertical="center" wrapText="1"/>
    </xf>
    <xf numFmtId="4" fontId="24" fillId="0" borderId="0" xfId="2" applyNumberFormat="1" applyFont="1" applyAlignment="1">
      <alignment horizontal="right" vertical="center"/>
    </xf>
    <xf numFmtId="0" fontId="24" fillId="0" borderId="0" xfId="2" applyFont="1" applyAlignment="1">
      <alignment horizontal="right" vertical="center"/>
    </xf>
    <xf numFmtId="14" fontId="19" fillId="0" borderId="0" xfId="2" applyNumberFormat="1" applyFont="1" applyAlignment="1">
      <alignment horizontal="left" vertical="center"/>
    </xf>
    <xf numFmtId="0" fontId="24" fillId="0" borderId="0" xfId="2" applyFont="1" applyAlignment="1">
      <alignment horizontal="left" vertical="top" wrapText="1"/>
    </xf>
    <xf numFmtId="0" fontId="17" fillId="0" borderId="0" xfId="2" applyFont="1" applyAlignment="1">
      <alignment horizontal="right" vertical="center"/>
    </xf>
    <xf numFmtId="0" fontId="17" fillId="0" borderId="0" xfId="2" applyFont="1" applyAlignment="1">
      <alignment horizontal="left" vertical="center"/>
    </xf>
  </cellXfs>
  <cellStyles count="41">
    <cellStyle name="Comma" xfId="1" builtinId="3"/>
    <cellStyle name="Comma 2" xfId="3" xr:uid="{00000000-0005-0000-0000-000001000000}"/>
    <cellStyle name="Comma 2 2" xfId="20" xr:uid="{00000000-0005-0000-0000-000002000000}"/>
    <cellStyle name="Comma 2 2 2" xfId="39" xr:uid="{EB66BC6D-31AA-46E4-AB86-AC146D2E963E}"/>
    <cellStyle name="Comma 2 3" xfId="17" xr:uid="{00000000-0005-0000-0000-000003000000}"/>
    <cellStyle name="Comma 2 4" xfId="13" xr:uid="{00000000-0005-0000-0000-000004000000}"/>
    <cellStyle name="Comma 2 5" xfId="29" xr:uid="{597F83F7-A3F1-45FD-86C7-EF721C073155}"/>
    <cellStyle name="Comma 2 6" xfId="37" xr:uid="{BDD3E457-174D-4DC7-96E2-F3A46AEA2F20}"/>
    <cellStyle name="Comma 3" xfId="8" xr:uid="{00000000-0005-0000-0000-000005000000}"/>
    <cellStyle name="Comma 3 2" xfId="15" xr:uid="{00000000-0005-0000-0000-000006000000}"/>
    <cellStyle name="Comma 3 3" xfId="30" xr:uid="{C1782E82-D0C5-495F-9BB1-645E3DC07FCC}"/>
    <cellStyle name="Comma 3 4" xfId="38" xr:uid="{4A673BCA-162B-4E82-BB83-C0CE2AFD1749}"/>
    <cellStyle name="Comma 4" xfId="12" xr:uid="{00000000-0005-0000-0000-000007000000}"/>
    <cellStyle name="Comma 4 2" xfId="34" xr:uid="{8818929C-EABC-48C3-AFEC-567CDE02D65D}"/>
    <cellStyle name="Comma 5" xfId="28" xr:uid="{2074E33F-F145-46A6-800A-F646ABDEF060}"/>
    <cellStyle name="Comma 6" xfId="36" xr:uid="{9DC6B26F-8642-4820-9C1B-685B42FC29B9}"/>
    <cellStyle name="Currency" xfId="5" builtinId="4"/>
    <cellStyle name="Currency 2" xfId="6" xr:uid="{00000000-0005-0000-0000-000009000000}"/>
    <cellStyle name="Currency 2 2" xfId="18" xr:uid="{00000000-0005-0000-0000-00000A000000}"/>
    <cellStyle name="Normal" xfId="0" builtinId="0"/>
    <cellStyle name="Normal 174" xfId="22" xr:uid="{00000000-0005-0000-0000-00000C000000}"/>
    <cellStyle name="Normal 175" xfId="23" xr:uid="{00000000-0005-0000-0000-00000D000000}"/>
    <cellStyle name="Normal 182" xfId="24" xr:uid="{00000000-0005-0000-0000-00000E000000}"/>
    <cellStyle name="Normal 2" xfId="2" xr:uid="{00000000-0005-0000-0000-00000F000000}"/>
    <cellStyle name="Normal 2 2" xfId="21" xr:uid="{00000000-0005-0000-0000-000010000000}"/>
    <cellStyle name="Normal 2 3" xfId="16" xr:uid="{00000000-0005-0000-0000-000011000000}"/>
    <cellStyle name="Normal 2 4" xfId="32" xr:uid="{8AA94B04-07B3-4BCA-8969-EEA084779EBC}"/>
    <cellStyle name="Normal 3" xfId="4" xr:uid="{00000000-0005-0000-0000-000012000000}"/>
    <cellStyle name="Normal 3 2" xfId="14" xr:uid="{00000000-0005-0000-0000-000013000000}"/>
    <cellStyle name="Normal 3 3" xfId="31" xr:uid="{58D939A7-AB7A-4B06-9EFE-7D4CB61E4374}"/>
    <cellStyle name="Normal 4" xfId="7" xr:uid="{00000000-0005-0000-0000-000014000000}"/>
    <cellStyle name="Normal 4 2" xfId="10" xr:uid="{00000000-0005-0000-0000-000015000000}"/>
    <cellStyle name="Normal 4 3" xfId="9" xr:uid="{00000000-0005-0000-0000-000016000000}"/>
    <cellStyle name="Normal 4 4" xfId="40" xr:uid="{C824D434-90D4-4C81-BF0E-1CAB5CC365A4}"/>
    <cellStyle name="Normal 5" xfId="11" xr:uid="{00000000-0005-0000-0000-000017000000}"/>
    <cellStyle name="Normal 6" xfId="26" xr:uid="{4BC925F6-0BD9-436B-9E9B-5DAF383DDEAC}"/>
    <cellStyle name="Normal 7" xfId="35" xr:uid="{97EE9659-7E38-4528-92B3-F80CD4BF28F6}"/>
    <cellStyle name="Percent 2" xfId="19" xr:uid="{00000000-0005-0000-0000-000018000000}"/>
    <cellStyle name="Percent 2 2" xfId="27" xr:uid="{6819A900-777E-497F-AC05-1484D054B1AF}"/>
    <cellStyle name="Percent 3" xfId="25" xr:uid="{00000000-0005-0000-0000-000019000000}"/>
    <cellStyle name="Percent 4" xfId="33" xr:uid="{86D030B5-5203-4E93-880E-59F0CE575D71}"/>
  </cellStyles>
  <dxfs count="0"/>
  <tableStyles count="0" defaultTableStyle="TableStyleMedium9" defaultPivotStyle="PivotStyleLight16"/>
  <colors>
    <mruColors>
      <color rgb="FF34FB19"/>
      <color rgb="FF30C4F8"/>
      <color rgb="FFFA7A8C"/>
      <color rgb="FFE76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55454" cy="403513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A276C11-9AB3-4482-9E7A-ADCA51D612ED}"/>
            </a:ext>
          </a:extLst>
        </xdr:cNvPr>
        <xdr:cNvSpPr txBox="1"/>
      </xdr:nvSpPr>
      <xdr:spPr>
        <a:xfrm>
          <a:off x="0" y="0"/>
          <a:ext cx="28055454" cy="40351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2000" b="1" i="0">
              <a:latin typeface="+mn-lt"/>
            </a:rPr>
            <a:t>Republic</a:t>
          </a:r>
          <a:r>
            <a:rPr lang="en-US" sz="2000" b="1" i="0" baseline="0">
              <a:latin typeface="+mn-lt"/>
            </a:rPr>
            <a:t> of the Philippines</a:t>
          </a:r>
        </a:p>
        <a:p>
          <a:pPr algn="ctr"/>
          <a:r>
            <a:rPr lang="en-US" sz="2000" b="1" baseline="0">
              <a:latin typeface="+mn-lt"/>
            </a:rPr>
            <a:t>Tarlac State University</a:t>
          </a:r>
        </a:p>
        <a:p>
          <a:pPr algn="ctr"/>
          <a:r>
            <a:rPr lang="en-US" sz="2000" b="1" baseline="0">
              <a:latin typeface="+mn-lt"/>
            </a:rPr>
            <a:t>Facilities Development and Management Office</a:t>
          </a:r>
        </a:p>
        <a:p>
          <a:pPr algn="ctr"/>
          <a:r>
            <a:rPr lang="en-US" sz="2000" b="1" baseline="0">
              <a:latin typeface="+mn-lt"/>
            </a:rPr>
            <a:t>Planning and Monitoring Unit</a:t>
          </a:r>
        </a:p>
        <a:p>
          <a:pPr algn="ctr"/>
          <a:r>
            <a:rPr lang="en-US" sz="2000" baseline="0">
              <a:latin typeface="+mn-lt"/>
            </a:rPr>
            <a:t>Romulo Boulevard, San Vicnete, Tarlac City</a:t>
          </a:r>
        </a:p>
        <a:p>
          <a:pPr algn="ctr"/>
          <a:r>
            <a:rPr lang="en-US" sz="2000" baseline="0">
              <a:latin typeface="+mn-lt"/>
            </a:rPr>
            <a:t>Tel. No. (045) 982-1624; (045) 606-8160</a:t>
          </a:r>
        </a:p>
        <a:p>
          <a:pPr algn="ctr"/>
          <a:endParaRPr lang="en-US" sz="1400" baseline="0">
            <a:latin typeface="+mn-lt"/>
          </a:endParaRPr>
        </a:p>
        <a:p>
          <a:pPr algn="ctr"/>
          <a:r>
            <a:rPr lang="en-US" sz="2000" b="1" baseline="0">
              <a:latin typeface="+mn-lt"/>
            </a:rPr>
            <a:t>Project:  REPAINTING OF TSU HOTEL FACADE</a:t>
          </a:r>
        </a:p>
        <a:p>
          <a:pPr algn="ctr"/>
          <a:r>
            <a:rPr lang="en-US" sz="2000" b="1" baseline="0">
              <a:latin typeface="+mn-lt"/>
            </a:rPr>
            <a:t>Location:  Tarlac State University</a:t>
          </a:r>
        </a:p>
        <a:p>
          <a:pPr algn="ctr"/>
          <a:r>
            <a:rPr lang="en-US" sz="2000" b="1" baseline="0">
              <a:latin typeface="+mn-lt"/>
            </a:rPr>
            <a:t>Duration: 60 Calendar Days</a:t>
          </a:r>
        </a:p>
        <a:p>
          <a:pPr algn="ctr"/>
          <a:endParaRPr lang="en-US" sz="1500" b="1" baseline="0">
            <a:latin typeface="+mn-lt"/>
          </a:endParaRPr>
        </a:p>
        <a:p>
          <a:pPr algn="ctr"/>
          <a:r>
            <a:rPr lang="en-US" sz="2400" b="1" baseline="0">
              <a:latin typeface="+mn-lt"/>
            </a:rPr>
            <a:t>APPROVED BUDGET FOR THE CONTRACT</a:t>
          </a:r>
        </a:p>
      </xdr:txBody>
    </xdr:sp>
    <xdr:clientData/>
  </xdr:oneCellAnchor>
  <xdr:twoCellAnchor editAs="oneCell">
    <xdr:from>
      <xdr:col>13</xdr:col>
      <xdr:colOff>1420091</xdr:colOff>
      <xdr:row>3</xdr:row>
      <xdr:rowOff>26518</xdr:rowOff>
    </xdr:from>
    <xdr:to>
      <xdr:col>14</xdr:col>
      <xdr:colOff>1176545</xdr:colOff>
      <xdr:row>9</xdr:row>
      <xdr:rowOff>202004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360E71-41F5-4225-B26B-1E6CC0AFA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7291" y="883768"/>
          <a:ext cx="1804329" cy="1889986"/>
        </a:xfrm>
        <a:prstGeom prst="rect">
          <a:avLst/>
        </a:prstGeom>
      </xdr:spPr>
    </xdr:pic>
    <xdr:clientData/>
  </xdr:twoCellAnchor>
  <xdr:twoCellAnchor>
    <xdr:from>
      <xdr:col>0</xdr:col>
      <xdr:colOff>813953</xdr:colOff>
      <xdr:row>2</xdr:row>
      <xdr:rowOff>191227</xdr:rowOff>
    </xdr:from>
    <xdr:to>
      <xdr:col>1</xdr:col>
      <xdr:colOff>1974273</xdr:colOff>
      <xdr:row>9</xdr:row>
      <xdr:rowOff>225136</xdr:rowOff>
    </xdr:to>
    <xdr:pic>
      <xdr:nvPicPr>
        <xdr:cNvPr id="4" name="Picture 2" descr="TSU Logo">
          <a:extLst>
            <a:ext uri="{FF2B5EF4-FFF2-40B4-BE49-F238E27FC236}">
              <a16:creationId xmlns:a16="http://schemas.microsoft.com/office/drawing/2014/main" id="{9359A0D4-DA0A-4DD1-ABBF-ED4E740E62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953" y="762727"/>
          <a:ext cx="2236645" cy="2034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55454" cy="403513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28055454" cy="40351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2000" b="1" i="0">
              <a:latin typeface="+mn-lt"/>
            </a:rPr>
            <a:t>Republic</a:t>
          </a:r>
          <a:r>
            <a:rPr lang="en-US" sz="2000" b="1" i="0" baseline="0">
              <a:latin typeface="+mn-lt"/>
            </a:rPr>
            <a:t> of the Philippines</a:t>
          </a:r>
        </a:p>
        <a:p>
          <a:pPr algn="ctr"/>
          <a:r>
            <a:rPr lang="en-US" sz="2000" b="1" baseline="0">
              <a:latin typeface="+mn-lt"/>
            </a:rPr>
            <a:t>Tarlac State University</a:t>
          </a:r>
        </a:p>
        <a:p>
          <a:pPr algn="ctr"/>
          <a:r>
            <a:rPr lang="en-US" sz="2000" b="1" baseline="0">
              <a:latin typeface="+mn-lt"/>
            </a:rPr>
            <a:t>Facilities Development and Management Office</a:t>
          </a:r>
        </a:p>
        <a:p>
          <a:pPr algn="ctr"/>
          <a:r>
            <a:rPr lang="en-US" sz="2000" b="1" baseline="0">
              <a:latin typeface="+mn-lt"/>
            </a:rPr>
            <a:t>Planning and Monitoring Unit</a:t>
          </a:r>
        </a:p>
        <a:p>
          <a:pPr algn="ctr"/>
          <a:r>
            <a:rPr lang="en-US" sz="2000" baseline="0">
              <a:latin typeface="+mn-lt"/>
            </a:rPr>
            <a:t>Romulo Boulevard, San Vicente, Tarlac City</a:t>
          </a:r>
        </a:p>
        <a:p>
          <a:pPr algn="ctr"/>
          <a:r>
            <a:rPr lang="en-US" sz="2000" baseline="0">
              <a:latin typeface="+mn-lt"/>
            </a:rPr>
            <a:t>Tel. No. (045) 982-1624; (045) 606-8160</a:t>
          </a:r>
        </a:p>
        <a:p>
          <a:pPr algn="ctr"/>
          <a:endParaRPr lang="en-US" sz="1400" baseline="0">
            <a:latin typeface="+mn-lt"/>
          </a:endParaRPr>
        </a:p>
        <a:p>
          <a:pPr algn="ctr"/>
          <a:r>
            <a:rPr lang="en-US" sz="2000" b="1" baseline="0">
              <a:latin typeface="+mn-lt"/>
            </a:rPr>
            <a:t>Project:  REPAIR AND REPAINTING OF TSU HOTEL </a:t>
          </a:r>
        </a:p>
        <a:p>
          <a:pPr algn="ctr"/>
          <a:r>
            <a:rPr lang="en-US" sz="2000" b="1" baseline="0">
              <a:latin typeface="+mn-lt"/>
            </a:rPr>
            <a:t>Location:  Tarlac State University, Lucinda Extension Campus</a:t>
          </a:r>
        </a:p>
        <a:p>
          <a:pPr algn="ctr"/>
          <a:r>
            <a:rPr lang="en-US" sz="2000" b="1" baseline="0">
              <a:latin typeface="+mn-lt"/>
            </a:rPr>
            <a:t>Duration: 150 Calendar Days</a:t>
          </a:r>
        </a:p>
        <a:p>
          <a:pPr algn="ctr"/>
          <a:endParaRPr lang="en-US" sz="1500" b="1" baseline="0">
            <a:latin typeface="+mn-lt"/>
          </a:endParaRPr>
        </a:p>
        <a:p>
          <a:pPr algn="ctr"/>
          <a:r>
            <a:rPr lang="en-US" sz="2400" b="1" baseline="0">
              <a:latin typeface="+mn-lt"/>
            </a:rPr>
            <a:t>APPROVED BUDGET FOR THE CONTRACT</a:t>
          </a:r>
        </a:p>
      </xdr:txBody>
    </xdr:sp>
    <xdr:clientData/>
  </xdr:oneCellAnchor>
  <xdr:twoCellAnchor editAs="oneCell">
    <xdr:from>
      <xdr:col>13</xdr:col>
      <xdr:colOff>578716</xdr:colOff>
      <xdr:row>3</xdr:row>
      <xdr:rowOff>26518</xdr:rowOff>
    </xdr:from>
    <xdr:to>
      <xdr:col>14</xdr:col>
      <xdr:colOff>335170</xdr:colOff>
      <xdr:row>9</xdr:row>
      <xdr:rowOff>202004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7841" y="883768"/>
          <a:ext cx="1804329" cy="1889986"/>
        </a:xfrm>
        <a:prstGeom prst="rect">
          <a:avLst/>
        </a:prstGeom>
      </xdr:spPr>
    </xdr:pic>
    <xdr:clientData/>
  </xdr:twoCellAnchor>
  <xdr:twoCellAnchor>
    <xdr:from>
      <xdr:col>1</xdr:col>
      <xdr:colOff>4328</xdr:colOff>
      <xdr:row>2</xdr:row>
      <xdr:rowOff>191227</xdr:rowOff>
    </xdr:from>
    <xdr:to>
      <xdr:col>1</xdr:col>
      <xdr:colOff>2111375</xdr:colOff>
      <xdr:row>9</xdr:row>
      <xdr:rowOff>225136</xdr:rowOff>
    </xdr:to>
    <xdr:pic>
      <xdr:nvPicPr>
        <xdr:cNvPr id="4" name="Picture 2" descr="TSU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828" y="762727"/>
          <a:ext cx="2107047" cy="2034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14</xdr:row>
      <xdr:rowOff>22776</xdr:rowOff>
    </xdr:from>
    <xdr:to>
      <xdr:col>5</xdr:col>
      <xdr:colOff>733425</xdr:colOff>
      <xdr:row>14</xdr:row>
      <xdr:rowOff>165651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3619500" y="2823126"/>
          <a:ext cx="38100" cy="142875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571500</xdr:colOff>
      <xdr:row>15</xdr:row>
      <xdr:rowOff>3726</xdr:rowOff>
    </xdr:from>
    <xdr:to>
      <xdr:col>5</xdr:col>
      <xdr:colOff>733425</xdr:colOff>
      <xdr:row>15</xdr:row>
      <xdr:rowOff>156126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3619500" y="3004101"/>
          <a:ext cx="38100" cy="15240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571500</xdr:colOff>
      <xdr:row>16</xdr:row>
      <xdr:rowOff>2484</xdr:rowOff>
    </xdr:from>
    <xdr:to>
      <xdr:col>5</xdr:col>
      <xdr:colOff>733425</xdr:colOff>
      <xdr:row>16</xdr:row>
      <xdr:rowOff>173934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3619500" y="3202884"/>
          <a:ext cx="38100" cy="1714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571500</xdr:colOff>
      <xdr:row>17</xdr:row>
      <xdr:rowOff>10761</xdr:rowOff>
    </xdr:from>
    <xdr:to>
      <xdr:col>5</xdr:col>
      <xdr:colOff>733425</xdr:colOff>
      <xdr:row>17</xdr:row>
      <xdr:rowOff>182211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/>
        </xdr:cNvSpPr>
      </xdr:nvSpPr>
      <xdr:spPr bwMode="auto">
        <a:xfrm>
          <a:off x="3619500" y="3411186"/>
          <a:ext cx="38100" cy="171450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606830</xdr:colOff>
      <xdr:row>17</xdr:row>
      <xdr:rowOff>52176</xdr:rowOff>
    </xdr:from>
    <xdr:to>
      <xdr:col>5</xdr:col>
      <xdr:colOff>702080</xdr:colOff>
      <xdr:row>17</xdr:row>
      <xdr:rowOff>137901</xdr:rowOff>
    </xdr:to>
    <xdr:sp macro="" textlink="">
      <xdr:nvSpPr>
        <xdr:cNvPr id="6" name="Flowchart: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/>
        </xdr:cNvSpPr>
      </xdr:nvSpPr>
      <xdr:spPr bwMode="auto">
        <a:xfrm>
          <a:off x="4277618" y="3224734"/>
          <a:ext cx="95250" cy="85725"/>
        </a:xfrm>
        <a:prstGeom prst="flowChartConnector">
          <a:avLst/>
        </a:prstGeom>
        <a:solidFill>
          <a:srgbClr val="000000"/>
        </a:solidFill>
        <a:ln w="158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31</xdr:row>
      <xdr:rowOff>28575</xdr:rowOff>
    </xdr:from>
    <xdr:to>
      <xdr:col>3</xdr:col>
      <xdr:colOff>200025</xdr:colOff>
      <xdr:row>31</xdr:row>
      <xdr:rowOff>200025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857375" y="6029325"/>
          <a:ext cx="171450" cy="171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31</xdr:row>
      <xdr:rowOff>28575</xdr:rowOff>
    </xdr:from>
    <xdr:to>
      <xdr:col>1</xdr:col>
      <xdr:colOff>200025</xdr:colOff>
      <xdr:row>31</xdr:row>
      <xdr:rowOff>200025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638175" y="6029325"/>
          <a:ext cx="171450" cy="171450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24</xdr:row>
      <xdr:rowOff>57150</xdr:rowOff>
    </xdr:from>
    <xdr:to>
      <xdr:col>1</xdr:col>
      <xdr:colOff>152400</xdr:colOff>
      <xdr:row>24</xdr:row>
      <xdr:rowOff>142875</xdr:rowOff>
    </xdr:to>
    <xdr:sp macro="" textlink="">
      <xdr:nvSpPr>
        <xdr:cNvPr id="4" name="Flowchart: Connector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666750" y="4657725"/>
          <a:ext cx="95250" cy="85725"/>
        </a:xfrm>
        <a:prstGeom prst="flowChartConnector">
          <a:avLst/>
        </a:prstGeom>
        <a:solidFill>
          <a:srgbClr val="000000"/>
        </a:solidFill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37</xdr:row>
      <xdr:rowOff>57150</xdr:rowOff>
    </xdr:from>
    <xdr:to>
      <xdr:col>1</xdr:col>
      <xdr:colOff>152400</xdr:colOff>
      <xdr:row>37</xdr:row>
      <xdr:rowOff>142875</xdr:rowOff>
    </xdr:to>
    <xdr:sp macro="" textlink="">
      <xdr:nvSpPr>
        <xdr:cNvPr id="5" name="Flowchart: Connector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666750" y="7258050"/>
          <a:ext cx="95250" cy="85725"/>
        </a:xfrm>
        <a:prstGeom prst="flowChartConnector">
          <a:avLst/>
        </a:prstGeom>
        <a:solidFill>
          <a:srgbClr val="000000"/>
        </a:solidFill>
        <a:ln w="158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BBDD5-69D9-4966-A86F-4E671104EEC6}">
  <sheetPr>
    <pageSetUpPr fitToPage="1"/>
  </sheetPr>
  <dimension ref="A1:AC163"/>
  <sheetViews>
    <sheetView view="pageBreakPreview" topLeftCell="A13" zoomScale="55" zoomScaleNormal="55" zoomScaleSheetLayoutView="55" zoomScalePageLayoutView="55" workbookViewId="0">
      <selection activeCell="L67" sqref="L67"/>
    </sheetView>
  </sheetViews>
  <sheetFormatPr defaultColWidth="9.140625" defaultRowHeight="22.5"/>
  <cols>
    <col min="1" max="1" width="16.140625" style="153" customWidth="1"/>
    <col min="2" max="2" width="100.7109375" style="218" customWidth="1"/>
    <col min="3" max="3" width="15.5703125" style="160" customWidth="1"/>
    <col min="4" max="4" width="15.5703125" style="161" customWidth="1"/>
    <col min="5" max="6" width="20.7109375" style="160" customWidth="1"/>
    <col min="7" max="7" width="25.7109375" style="158" customWidth="1"/>
    <col min="8" max="11" width="20.7109375" style="158" customWidth="1"/>
    <col min="12" max="13" width="25.7109375" style="158" customWidth="1"/>
    <col min="14" max="15" width="30.7109375" style="158" customWidth="1"/>
    <col min="16" max="16" width="23" style="159" customWidth="1"/>
    <col min="17" max="17" width="18.5703125" style="158" bestFit="1" customWidth="1"/>
    <col min="18" max="20" width="9.140625" style="158"/>
    <col min="21" max="21" width="9.28515625" style="158" bestFit="1" customWidth="1"/>
    <col min="22" max="22" width="9.85546875" style="158" bestFit="1" customWidth="1"/>
    <col min="23" max="23" width="10.7109375" style="158" bestFit="1" customWidth="1"/>
    <col min="24" max="26" width="14.7109375" style="158" bestFit="1" customWidth="1"/>
    <col min="27" max="27" width="9.140625" style="158"/>
    <col min="28" max="28" width="11" style="158" customWidth="1"/>
    <col min="29" max="29" width="10.42578125" style="158" customWidth="1"/>
    <col min="30" max="16384" width="9.140625" style="158"/>
  </cols>
  <sheetData>
    <row r="1" spans="1:16">
      <c r="B1" s="154"/>
      <c r="C1" s="155"/>
      <c r="D1" s="156"/>
      <c r="E1" s="155"/>
      <c r="F1" s="155"/>
      <c r="G1" s="157"/>
      <c r="I1" s="157"/>
      <c r="J1" s="157"/>
      <c r="K1" s="157"/>
      <c r="L1" s="157"/>
      <c r="M1" s="157"/>
      <c r="N1" s="157"/>
    </row>
    <row r="2" spans="1:16">
      <c r="B2" s="154"/>
      <c r="C2" s="155"/>
      <c r="D2" s="156"/>
      <c r="E2" s="155"/>
      <c r="F2" s="155"/>
      <c r="H2" s="307"/>
      <c r="I2" s="307"/>
      <c r="J2" s="157"/>
      <c r="K2" s="157"/>
      <c r="L2" s="157"/>
      <c r="M2" s="157"/>
      <c r="N2" s="157"/>
    </row>
    <row r="3" spans="1:16">
      <c r="B3" s="154"/>
      <c r="C3" s="155"/>
      <c r="D3" s="156"/>
      <c r="E3" s="155"/>
      <c r="F3" s="155"/>
      <c r="G3" s="157"/>
      <c r="H3" s="308"/>
      <c r="I3" s="308"/>
      <c r="J3" s="157"/>
      <c r="K3" s="157"/>
      <c r="L3" s="157"/>
      <c r="M3" s="157"/>
      <c r="N3" s="157"/>
    </row>
    <row r="4" spans="1:16">
      <c r="B4" s="154"/>
      <c r="G4" s="308"/>
      <c r="H4" s="308"/>
      <c r="I4" s="308"/>
      <c r="J4" s="308"/>
    </row>
    <row r="5" spans="1:16">
      <c r="B5" s="154"/>
      <c r="G5" s="309"/>
      <c r="H5" s="309"/>
      <c r="I5" s="309"/>
      <c r="J5" s="309"/>
    </row>
    <row r="6" spans="1:16">
      <c r="B6" s="154"/>
      <c r="G6" s="309"/>
      <c r="H6" s="309"/>
      <c r="I6" s="309"/>
      <c r="J6" s="309"/>
    </row>
    <row r="7" spans="1:16">
      <c r="B7" s="154"/>
      <c r="H7" s="162"/>
    </row>
    <row r="8" spans="1:16">
      <c r="B8" s="154"/>
    </row>
    <row r="9" spans="1:16">
      <c r="B9" s="154"/>
      <c r="I9" s="163"/>
    </row>
    <row r="10" spans="1:16">
      <c r="B10" s="154"/>
      <c r="I10" s="163"/>
    </row>
    <row r="11" spans="1:16">
      <c r="B11" s="154"/>
      <c r="I11" s="163"/>
    </row>
    <row r="12" spans="1:16">
      <c r="B12" s="154"/>
      <c r="I12" s="163"/>
    </row>
    <row r="13" spans="1:16">
      <c r="B13" s="154"/>
      <c r="I13" s="163"/>
      <c r="P13" s="159">
        <v>1528453.5</v>
      </c>
    </row>
    <row r="14" spans="1:16">
      <c r="B14" s="154"/>
      <c r="I14" s="163"/>
    </row>
    <row r="15" spans="1:16" ht="23.25" thickBot="1">
      <c r="B15" s="154"/>
    </row>
    <row r="16" spans="1:16" s="165" customFormat="1" ht="24" customHeight="1">
      <c r="A16" s="321" t="s">
        <v>138</v>
      </c>
      <c r="B16" s="323" t="s">
        <v>19</v>
      </c>
      <c r="C16" s="305" t="s">
        <v>2</v>
      </c>
      <c r="D16" s="305" t="s">
        <v>0</v>
      </c>
      <c r="E16" s="305" t="s">
        <v>348</v>
      </c>
      <c r="F16" s="305" t="s">
        <v>344</v>
      </c>
      <c r="G16" s="314" t="s">
        <v>328</v>
      </c>
      <c r="H16" s="305" t="s">
        <v>327</v>
      </c>
      <c r="I16" s="305"/>
      <c r="J16" s="314" t="s">
        <v>332</v>
      </c>
      <c r="K16" s="314"/>
      <c r="L16" s="314" t="s">
        <v>333</v>
      </c>
      <c r="M16" s="314" t="s">
        <v>334</v>
      </c>
      <c r="N16" s="314" t="s">
        <v>335</v>
      </c>
      <c r="O16" s="316" t="s">
        <v>231</v>
      </c>
      <c r="P16" s="164"/>
    </row>
    <row r="17" spans="1:16" s="165" customFormat="1" ht="34.5" customHeight="1">
      <c r="A17" s="322"/>
      <c r="B17" s="324"/>
      <c r="C17" s="306"/>
      <c r="D17" s="306"/>
      <c r="E17" s="306"/>
      <c r="F17" s="306"/>
      <c r="G17" s="315"/>
      <c r="H17" s="227" t="s">
        <v>329</v>
      </c>
      <c r="I17" s="227" t="s">
        <v>330</v>
      </c>
      <c r="J17" s="227" t="s">
        <v>331</v>
      </c>
      <c r="K17" s="227" t="s">
        <v>336</v>
      </c>
      <c r="L17" s="315"/>
      <c r="M17" s="315"/>
      <c r="N17" s="315"/>
      <c r="O17" s="317"/>
      <c r="P17" s="164"/>
    </row>
    <row r="18" spans="1:16" s="165" customFormat="1" ht="69" hidden="1" customHeight="1">
      <c r="A18" s="322"/>
      <c r="B18" s="324"/>
      <c r="C18" s="228"/>
      <c r="D18" s="228"/>
      <c r="E18" s="228"/>
      <c r="F18" s="228"/>
      <c r="G18" s="315"/>
      <c r="H18" s="227"/>
      <c r="I18" s="227"/>
      <c r="J18" s="227"/>
      <c r="K18" s="227"/>
      <c r="L18" s="227"/>
      <c r="M18" s="227"/>
      <c r="N18" s="227"/>
      <c r="O18" s="229"/>
      <c r="P18" s="164"/>
    </row>
    <row r="19" spans="1:16" s="167" customFormat="1" ht="69" hidden="1" customHeight="1">
      <c r="A19" s="322"/>
      <c r="B19" s="324"/>
      <c r="C19" s="228">
        <v>1</v>
      </c>
      <c r="D19" s="228" t="s">
        <v>18</v>
      </c>
      <c r="E19" s="228"/>
      <c r="F19" s="228"/>
      <c r="G19" s="315"/>
      <c r="H19" s="228" t="s">
        <v>177</v>
      </c>
      <c r="I19" s="228"/>
      <c r="J19" s="228"/>
      <c r="K19" s="228"/>
      <c r="L19" s="228"/>
      <c r="M19" s="228"/>
      <c r="N19" s="228"/>
      <c r="O19" s="229"/>
      <c r="P19" s="166"/>
    </row>
    <row r="20" spans="1:16" s="167" customFormat="1" ht="69" hidden="1" customHeight="1">
      <c r="A20" s="322"/>
      <c r="B20" s="324"/>
      <c r="C20" s="228">
        <v>1</v>
      </c>
      <c r="D20" s="228" t="s">
        <v>18</v>
      </c>
      <c r="E20" s="228"/>
      <c r="F20" s="228"/>
      <c r="G20" s="315"/>
      <c r="H20" s="228"/>
      <c r="I20" s="228"/>
      <c r="J20" s="228"/>
      <c r="K20" s="228"/>
      <c r="L20" s="228"/>
      <c r="M20" s="228"/>
      <c r="N20" s="228"/>
      <c r="O20" s="229"/>
      <c r="P20" s="166"/>
    </row>
    <row r="21" spans="1:16" s="165" customFormat="1" ht="69" hidden="1" customHeight="1">
      <c r="A21" s="322"/>
      <c r="B21" s="324"/>
      <c r="C21" s="228">
        <v>2</v>
      </c>
      <c r="D21" s="228" t="s">
        <v>18</v>
      </c>
      <c r="E21" s="228"/>
      <c r="F21" s="228"/>
      <c r="G21" s="315"/>
      <c r="H21" s="227"/>
      <c r="I21" s="227"/>
      <c r="J21" s="227"/>
      <c r="K21" s="227"/>
      <c r="L21" s="227"/>
      <c r="M21" s="227"/>
      <c r="N21" s="227"/>
      <c r="O21" s="229"/>
      <c r="P21" s="164"/>
    </row>
    <row r="22" spans="1:16" s="167" customFormat="1" ht="69" hidden="1" customHeight="1">
      <c r="A22" s="322"/>
      <c r="B22" s="324"/>
      <c r="C22" s="228">
        <v>4</v>
      </c>
      <c r="D22" s="228" t="s">
        <v>18</v>
      </c>
      <c r="E22" s="228"/>
      <c r="F22" s="228"/>
      <c r="G22" s="315"/>
      <c r="H22" s="228"/>
      <c r="I22" s="228"/>
      <c r="J22" s="228"/>
      <c r="K22" s="228"/>
      <c r="L22" s="228"/>
      <c r="M22" s="228"/>
      <c r="N22" s="228"/>
      <c r="O22" s="229"/>
      <c r="P22" s="166"/>
    </row>
    <row r="23" spans="1:16" s="167" customFormat="1" ht="69" hidden="1" customHeight="1">
      <c r="A23" s="322"/>
      <c r="B23" s="324"/>
      <c r="C23" s="228">
        <v>1</v>
      </c>
      <c r="D23" s="228" t="s">
        <v>1</v>
      </c>
      <c r="E23" s="228"/>
      <c r="F23" s="228"/>
      <c r="G23" s="315"/>
      <c r="H23" s="228"/>
      <c r="I23" s="228"/>
      <c r="J23" s="228"/>
      <c r="K23" s="228"/>
      <c r="L23" s="228"/>
      <c r="M23" s="228"/>
      <c r="N23" s="228"/>
      <c r="O23" s="229"/>
      <c r="P23" s="166"/>
    </row>
    <row r="24" spans="1:16" s="165" customFormat="1" ht="69" hidden="1" customHeight="1">
      <c r="A24" s="322"/>
      <c r="B24" s="324"/>
      <c r="C24" s="228">
        <v>1</v>
      </c>
      <c r="D24" s="228" t="s">
        <v>1</v>
      </c>
      <c r="E24" s="228"/>
      <c r="F24" s="228"/>
      <c r="G24" s="315"/>
      <c r="H24" s="227"/>
      <c r="I24" s="227"/>
      <c r="J24" s="227"/>
      <c r="K24" s="227"/>
      <c r="L24" s="227"/>
      <c r="M24" s="227"/>
      <c r="N24" s="227"/>
      <c r="O24" s="229"/>
      <c r="P24" s="164"/>
    </row>
    <row r="25" spans="1:16" s="167" customFormat="1" ht="69" hidden="1" customHeight="1">
      <c r="A25" s="322"/>
      <c r="B25" s="324"/>
      <c r="C25" s="228">
        <v>8</v>
      </c>
      <c r="D25" s="228" t="s">
        <v>18</v>
      </c>
      <c r="E25" s="228"/>
      <c r="F25" s="228"/>
      <c r="G25" s="315"/>
      <c r="H25" s="228"/>
      <c r="I25" s="228"/>
      <c r="J25" s="228"/>
      <c r="K25" s="228"/>
      <c r="L25" s="228"/>
      <c r="M25" s="228"/>
      <c r="N25" s="228"/>
      <c r="O25" s="229"/>
      <c r="P25" s="166"/>
    </row>
    <row r="26" spans="1:16" s="167" customFormat="1" ht="69" hidden="1" customHeight="1">
      <c r="A26" s="322"/>
      <c r="B26" s="324"/>
      <c r="C26" s="228">
        <v>2</v>
      </c>
      <c r="D26" s="228" t="s">
        <v>18</v>
      </c>
      <c r="E26" s="228"/>
      <c r="F26" s="228"/>
      <c r="G26" s="315"/>
      <c r="H26" s="228"/>
      <c r="I26" s="228"/>
      <c r="J26" s="228"/>
      <c r="K26" s="228"/>
      <c r="L26" s="228"/>
      <c r="M26" s="228"/>
      <c r="N26" s="228"/>
      <c r="O26" s="229"/>
      <c r="P26" s="166"/>
    </row>
    <row r="27" spans="1:16" s="167" customFormat="1" ht="69" hidden="1" customHeight="1">
      <c r="A27" s="322"/>
      <c r="B27" s="324"/>
      <c r="C27" s="228">
        <v>1</v>
      </c>
      <c r="D27" s="228" t="s">
        <v>18</v>
      </c>
      <c r="E27" s="228"/>
      <c r="F27" s="228"/>
      <c r="G27" s="315"/>
      <c r="H27" s="228"/>
      <c r="I27" s="228"/>
      <c r="J27" s="228"/>
      <c r="K27" s="228"/>
      <c r="L27" s="228"/>
      <c r="M27" s="228"/>
      <c r="N27" s="228"/>
      <c r="O27" s="229"/>
      <c r="P27" s="166"/>
    </row>
    <row r="28" spans="1:16" s="167" customFormat="1" ht="69" hidden="1" customHeight="1">
      <c r="A28" s="322"/>
      <c r="B28" s="324"/>
      <c r="C28" s="228">
        <v>3</v>
      </c>
      <c r="D28" s="228" t="s">
        <v>18</v>
      </c>
      <c r="E28" s="228"/>
      <c r="F28" s="228"/>
      <c r="G28" s="315"/>
      <c r="H28" s="228"/>
      <c r="I28" s="228"/>
      <c r="J28" s="228"/>
      <c r="K28" s="228"/>
      <c r="L28" s="228"/>
      <c r="M28" s="228"/>
      <c r="N28" s="228"/>
      <c r="O28" s="229"/>
      <c r="P28" s="166"/>
    </row>
    <row r="29" spans="1:16" s="167" customFormat="1" ht="69" hidden="1" customHeight="1">
      <c r="A29" s="322"/>
      <c r="B29" s="324"/>
      <c r="C29" s="228">
        <v>1</v>
      </c>
      <c r="D29" s="228" t="s">
        <v>18</v>
      </c>
      <c r="E29" s="228"/>
      <c r="F29" s="228"/>
      <c r="G29" s="315"/>
      <c r="H29" s="228"/>
      <c r="I29" s="228"/>
      <c r="J29" s="228"/>
      <c r="K29" s="228"/>
      <c r="L29" s="228"/>
      <c r="M29" s="228"/>
      <c r="N29" s="228"/>
      <c r="O29" s="229"/>
      <c r="P29" s="166"/>
    </row>
    <row r="30" spans="1:16" s="167" customFormat="1" ht="69" hidden="1" customHeight="1">
      <c r="A30" s="322"/>
      <c r="B30" s="324"/>
      <c r="C30" s="228">
        <v>2</v>
      </c>
      <c r="D30" s="228" t="s">
        <v>18</v>
      </c>
      <c r="E30" s="228"/>
      <c r="F30" s="228"/>
      <c r="G30" s="315"/>
      <c r="H30" s="228"/>
      <c r="I30" s="228"/>
      <c r="J30" s="228"/>
      <c r="K30" s="228"/>
      <c r="L30" s="228"/>
      <c r="M30" s="228"/>
      <c r="N30" s="228"/>
      <c r="O30" s="229"/>
      <c r="P30" s="166"/>
    </row>
    <row r="31" spans="1:16" s="167" customFormat="1" ht="69" hidden="1" customHeight="1">
      <c r="A31" s="322"/>
      <c r="B31" s="324"/>
      <c r="C31" s="228">
        <v>1</v>
      </c>
      <c r="D31" s="228" t="s">
        <v>18</v>
      </c>
      <c r="E31" s="228"/>
      <c r="F31" s="228"/>
      <c r="G31" s="315"/>
      <c r="H31" s="228"/>
      <c r="I31" s="228"/>
      <c r="J31" s="228"/>
      <c r="K31" s="228"/>
      <c r="L31" s="228"/>
      <c r="M31" s="228"/>
      <c r="N31" s="228"/>
      <c r="O31" s="229"/>
      <c r="P31" s="166"/>
    </row>
    <row r="32" spans="1:16" s="167" customFormat="1" ht="69" hidden="1" customHeight="1">
      <c r="A32" s="322"/>
      <c r="B32" s="324"/>
      <c r="C32" s="228">
        <v>1</v>
      </c>
      <c r="D32" s="228" t="s">
        <v>18</v>
      </c>
      <c r="E32" s="228"/>
      <c r="F32" s="228"/>
      <c r="G32" s="315"/>
      <c r="H32" s="228"/>
      <c r="I32" s="228"/>
      <c r="J32" s="228"/>
      <c r="K32" s="228"/>
      <c r="L32" s="228"/>
      <c r="M32" s="228"/>
      <c r="N32" s="228"/>
      <c r="O32" s="229"/>
      <c r="P32" s="166"/>
    </row>
    <row r="33" spans="1:29" s="168" customFormat="1" ht="69" hidden="1" customHeight="1">
      <c r="A33" s="322"/>
      <c r="B33" s="324"/>
      <c r="C33" s="228"/>
      <c r="D33" s="228"/>
      <c r="E33" s="228"/>
      <c r="F33" s="228"/>
      <c r="G33" s="315"/>
      <c r="H33" s="228"/>
      <c r="I33" s="228"/>
      <c r="J33" s="228"/>
      <c r="K33" s="228"/>
      <c r="L33" s="228"/>
      <c r="M33" s="228"/>
      <c r="N33" s="228"/>
      <c r="O33" s="229"/>
      <c r="P33" s="166"/>
      <c r="Q33" s="167"/>
    </row>
    <row r="34" spans="1:29" s="165" customFormat="1" ht="69" hidden="1" customHeight="1">
      <c r="A34" s="322"/>
      <c r="B34" s="324"/>
      <c r="C34" s="228">
        <v>1</v>
      </c>
      <c r="D34" s="228" t="s">
        <v>1</v>
      </c>
      <c r="E34" s="228"/>
      <c r="F34" s="228"/>
      <c r="G34" s="315"/>
      <c r="H34" s="227"/>
      <c r="I34" s="227"/>
      <c r="J34" s="227"/>
      <c r="K34" s="227"/>
      <c r="L34" s="227"/>
      <c r="M34" s="227"/>
      <c r="N34" s="227"/>
      <c r="O34" s="229"/>
      <c r="P34" s="164"/>
    </row>
    <row r="35" spans="1:29" s="167" customFormat="1" ht="69" hidden="1" customHeight="1">
      <c r="A35" s="322"/>
      <c r="B35" s="324"/>
      <c r="C35" s="228">
        <v>5</v>
      </c>
      <c r="D35" s="228" t="s">
        <v>1</v>
      </c>
      <c r="E35" s="228"/>
      <c r="F35" s="228"/>
      <c r="G35" s="315"/>
      <c r="H35" s="228"/>
      <c r="I35" s="228"/>
      <c r="J35" s="228"/>
      <c r="K35" s="228"/>
      <c r="L35" s="228"/>
      <c r="M35" s="228"/>
      <c r="N35" s="228"/>
      <c r="O35" s="229"/>
      <c r="P35" s="166"/>
    </row>
    <row r="36" spans="1:29" s="167" customFormat="1" ht="69" hidden="1" customHeight="1">
      <c r="A36" s="322"/>
      <c r="B36" s="324"/>
      <c r="C36" s="228"/>
      <c r="D36" s="228"/>
      <c r="E36" s="228"/>
      <c r="F36" s="228"/>
      <c r="G36" s="315"/>
      <c r="H36" s="228"/>
      <c r="I36" s="228"/>
      <c r="J36" s="228"/>
      <c r="K36" s="228"/>
      <c r="L36" s="228"/>
      <c r="M36" s="228"/>
      <c r="N36" s="228"/>
      <c r="O36" s="229"/>
      <c r="P36" s="166"/>
    </row>
    <row r="37" spans="1:29" s="168" customFormat="1" ht="69" hidden="1" customHeight="1">
      <c r="A37" s="322"/>
      <c r="B37" s="324"/>
      <c r="C37" s="228">
        <v>4</v>
      </c>
      <c r="D37" s="228" t="s">
        <v>18</v>
      </c>
      <c r="E37" s="228"/>
      <c r="F37" s="228"/>
      <c r="G37" s="315"/>
      <c r="H37" s="228">
        <v>1000</v>
      </c>
      <c r="I37" s="228">
        <v>220</v>
      </c>
      <c r="J37" s="228"/>
      <c r="K37" s="228"/>
      <c r="L37" s="228"/>
      <c r="M37" s="228"/>
      <c r="N37" s="228"/>
      <c r="O37" s="229"/>
      <c r="P37" s="166"/>
      <c r="Q37" s="167"/>
    </row>
    <row r="38" spans="1:29" s="168" customFormat="1" ht="69" hidden="1" customHeight="1">
      <c r="A38" s="322"/>
      <c r="B38" s="324"/>
      <c r="C38" s="228">
        <v>1</v>
      </c>
      <c r="D38" s="228" t="s">
        <v>18</v>
      </c>
      <c r="E38" s="228"/>
      <c r="F38" s="228"/>
      <c r="G38" s="315"/>
      <c r="H38" s="228">
        <v>1000</v>
      </c>
      <c r="I38" s="228">
        <v>220</v>
      </c>
      <c r="J38" s="228"/>
      <c r="K38" s="228"/>
      <c r="L38" s="228"/>
      <c r="M38" s="228"/>
      <c r="N38" s="228"/>
      <c r="O38" s="229"/>
      <c r="P38" s="166"/>
      <c r="Q38" s="167"/>
    </row>
    <row r="39" spans="1:29" s="168" customFormat="1" ht="69" hidden="1" customHeight="1">
      <c r="A39" s="322"/>
      <c r="B39" s="324"/>
      <c r="C39" s="228">
        <v>1</v>
      </c>
      <c r="D39" s="228" t="s">
        <v>18</v>
      </c>
      <c r="E39" s="228"/>
      <c r="F39" s="228"/>
      <c r="G39" s="315"/>
      <c r="H39" s="228">
        <v>1000</v>
      </c>
      <c r="I39" s="228">
        <v>220</v>
      </c>
      <c r="J39" s="228"/>
      <c r="K39" s="228"/>
      <c r="L39" s="228"/>
      <c r="M39" s="228"/>
      <c r="N39" s="228"/>
      <c r="O39" s="229"/>
      <c r="P39" s="166"/>
      <c r="Q39" s="167"/>
    </row>
    <row r="40" spans="1:29" s="168" customFormat="1" ht="69" hidden="1" customHeight="1">
      <c r="A40" s="322"/>
      <c r="B40" s="324"/>
      <c r="C40" s="228">
        <v>1</v>
      </c>
      <c r="D40" s="228" t="s">
        <v>5</v>
      </c>
      <c r="E40" s="228"/>
      <c r="F40" s="228"/>
      <c r="G40" s="315"/>
      <c r="H40" s="228">
        <v>2400</v>
      </c>
      <c r="I40" s="227">
        <v>528</v>
      </c>
      <c r="J40" s="228"/>
      <c r="K40" s="228"/>
      <c r="L40" s="228"/>
      <c r="M40" s="228"/>
      <c r="N40" s="228"/>
      <c r="O40" s="229"/>
      <c r="P40" s="166"/>
      <c r="Q40" s="167"/>
    </row>
    <row r="41" spans="1:29" s="170" customFormat="1" ht="69" hidden="1" customHeight="1">
      <c r="A41" s="322"/>
      <c r="B41" s="324"/>
      <c r="C41" s="228"/>
      <c r="D41" s="228"/>
      <c r="E41" s="228"/>
      <c r="F41" s="228"/>
      <c r="G41" s="315"/>
      <c r="H41" s="230"/>
      <c r="I41" s="230"/>
      <c r="J41" s="228"/>
      <c r="K41" s="228"/>
      <c r="L41" s="228"/>
      <c r="M41" s="230"/>
      <c r="N41" s="230"/>
      <c r="O41" s="229"/>
      <c r="P41" s="169"/>
    </row>
    <row r="42" spans="1:29" s="170" customFormat="1" ht="18.75" customHeight="1">
      <c r="A42" s="322"/>
      <c r="B42" s="324"/>
      <c r="C42" s="231">
        <v>1</v>
      </c>
      <c r="D42" s="231" t="s">
        <v>349</v>
      </c>
      <c r="E42" s="231" t="s">
        <v>350</v>
      </c>
      <c r="F42" s="231" t="s">
        <v>351</v>
      </c>
      <c r="G42" s="231">
        <v>5</v>
      </c>
      <c r="H42" s="232">
        <v>6</v>
      </c>
      <c r="I42" s="232">
        <v>7</v>
      </c>
      <c r="J42" s="232">
        <v>8</v>
      </c>
      <c r="K42" s="232">
        <v>9</v>
      </c>
      <c r="L42" s="232">
        <v>10</v>
      </c>
      <c r="M42" s="232">
        <v>11</v>
      </c>
      <c r="N42" s="232">
        <v>12</v>
      </c>
      <c r="O42" s="233">
        <v>13</v>
      </c>
      <c r="P42" s="169"/>
    </row>
    <row r="43" spans="1:29" s="170" customFormat="1" ht="18.75" customHeight="1">
      <c r="A43" s="322"/>
      <c r="B43" s="324"/>
      <c r="C43" s="230"/>
      <c r="D43" s="230"/>
      <c r="E43" s="230"/>
      <c r="F43" s="230"/>
      <c r="G43" s="230" t="s">
        <v>347</v>
      </c>
      <c r="H43" s="234"/>
      <c r="I43" s="234"/>
      <c r="J43" s="235" t="s">
        <v>337</v>
      </c>
      <c r="K43" s="235" t="s">
        <v>338</v>
      </c>
      <c r="L43" s="235" t="s">
        <v>339</v>
      </c>
      <c r="M43" s="235" t="s">
        <v>340</v>
      </c>
      <c r="N43" s="235" t="s">
        <v>341</v>
      </c>
      <c r="O43" s="236" t="s">
        <v>342</v>
      </c>
      <c r="P43" s="169"/>
    </row>
    <row r="44" spans="1:29" s="179" customFormat="1">
      <c r="A44" s="263">
        <v>1</v>
      </c>
      <c r="B44" s="280" t="s">
        <v>352</v>
      </c>
      <c r="C44" s="171"/>
      <c r="D44" s="172"/>
      <c r="E44" s="171"/>
      <c r="F44" s="171"/>
      <c r="G44" s="173"/>
      <c r="H44" s="174"/>
      <c r="I44" s="174"/>
      <c r="J44" s="175"/>
      <c r="K44" s="175"/>
      <c r="L44" s="175"/>
      <c r="M44" s="174"/>
      <c r="N44" s="176"/>
      <c r="O44" s="177"/>
      <c r="P44" s="178"/>
    </row>
    <row r="45" spans="1:29" s="179" customFormat="1" ht="36">
      <c r="A45" s="262">
        <v>1.1000000000000001</v>
      </c>
      <c r="B45" s="125" t="s">
        <v>466</v>
      </c>
      <c r="C45" s="126">
        <v>1</v>
      </c>
      <c r="D45" s="126" t="s">
        <v>5</v>
      </c>
      <c r="E45" s="126">
        <v>20000</v>
      </c>
      <c r="F45" s="126">
        <v>15000</v>
      </c>
      <c r="G45" s="127">
        <f t="shared" ref="G45:G46" si="0">E45+F45</f>
        <v>35000</v>
      </c>
      <c r="H45" s="127">
        <v>0</v>
      </c>
      <c r="I45" s="128">
        <v>0</v>
      </c>
      <c r="J45" s="127">
        <f t="shared" ref="J45:J46" si="1">H45+I45</f>
        <v>0</v>
      </c>
      <c r="K45" s="127">
        <f t="shared" ref="K45:K46" si="2">J45%*G45</f>
        <v>0</v>
      </c>
      <c r="L45" s="127">
        <f t="shared" ref="L45:L46" si="3">5%*((G45)+(K45))</f>
        <v>1750</v>
      </c>
      <c r="M45" s="127">
        <f t="shared" ref="M45:M46" si="4">K45+L45</f>
        <v>1750</v>
      </c>
      <c r="N45" s="129">
        <f t="shared" ref="N45:N46" si="5">(+M45+G45)*C45</f>
        <v>36750</v>
      </c>
      <c r="O45" s="130">
        <f t="shared" ref="O45:O46" si="6">N45/C45</f>
        <v>36750</v>
      </c>
      <c r="P45" s="182"/>
    </row>
    <row r="46" spans="1:29" s="179" customFormat="1" ht="36">
      <c r="A46" s="262">
        <v>1.2</v>
      </c>
      <c r="B46" s="125" t="s">
        <v>369</v>
      </c>
      <c r="C46" s="126">
        <v>1</v>
      </c>
      <c r="D46" s="126" t="s">
        <v>5</v>
      </c>
      <c r="E46" s="126">
        <v>20000</v>
      </c>
      <c r="F46" s="126">
        <v>0</v>
      </c>
      <c r="G46" s="127">
        <f t="shared" si="0"/>
        <v>20000</v>
      </c>
      <c r="H46" s="127">
        <v>0</v>
      </c>
      <c r="I46" s="128">
        <v>0</v>
      </c>
      <c r="J46" s="127">
        <f t="shared" si="1"/>
        <v>0</v>
      </c>
      <c r="K46" s="127">
        <f t="shared" si="2"/>
        <v>0</v>
      </c>
      <c r="L46" s="127">
        <f t="shared" si="3"/>
        <v>1000</v>
      </c>
      <c r="M46" s="127">
        <f t="shared" si="4"/>
        <v>1000</v>
      </c>
      <c r="N46" s="129">
        <f t="shared" si="5"/>
        <v>21000</v>
      </c>
      <c r="O46" s="130">
        <f t="shared" si="6"/>
        <v>21000</v>
      </c>
      <c r="P46" s="182"/>
    </row>
    <row r="47" spans="1:29" s="179" customFormat="1">
      <c r="A47" s="264"/>
      <c r="B47" s="180"/>
      <c r="C47" s="181"/>
      <c r="D47" s="183"/>
      <c r="E47" s="184"/>
      <c r="F47" s="184"/>
      <c r="G47" s="185"/>
      <c r="H47" s="186"/>
      <c r="I47" s="186"/>
      <c r="J47" s="186"/>
      <c r="K47" s="186"/>
      <c r="L47" s="187"/>
      <c r="M47" s="224" t="s">
        <v>343</v>
      </c>
      <c r="N47" s="240">
        <f>SUM(N45:N46)</f>
        <v>57750</v>
      </c>
      <c r="O47" s="188"/>
      <c r="P47" s="178">
        <f>N47</f>
        <v>57750</v>
      </c>
    </row>
    <row r="48" spans="1:29" s="179" customFormat="1">
      <c r="A48" s="263">
        <v>2</v>
      </c>
      <c r="B48" s="280" t="s">
        <v>458</v>
      </c>
      <c r="C48" s="171"/>
      <c r="D48" s="172"/>
      <c r="E48" s="171"/>
      <c r="F48" s="171"/>
      <c r="G48" s="173"/>
      <c r="H48" s="174"/>
      <c r="I48" s="174"/>
      <c r="J48" s="175"/>
      <c r="K48" s="175"/>
      <c r="L48" s="175"/>
      <c r="M48" s="174"/>
      <c r="N48" s="176"/>
      <c r="O48" s="177"/>
      <c r="P48" s="182"/>
      <c r="U48" s="191" t="s">
        <v>360</v>
      </c>
      <c r="V48" s="191" t="s">
        <v>361</v>
      </c>
      <c r="W48" s="192" t="s">
        <v>362</v>
      </c>
      <c r="X48" s="192" t="s">
        <v>363</v>
      </c>
      <c r="Y48" s="192" t="s">
        <v>364</v>
      </c>
      <c r="Z48" s="192" t="s">
        <v>365</v>
      </c>
      <c r="AA48" s="190"/>
      <c r="AB48" s="190"/>
      <c r="AC48" s="190"/>
    </row>
    <row r="49" spans="1:29" s="167" customFormat="1" ht="75" customHeight="1">
      <c r="A49" s="262">
        <v>2.1</v>
      </c>
      <c r="B49" s="281" t="s">
        <v>457</v>
      </c>
      <c r="C49" s="129">
        <v>2246.0920000000001</v>
      </c>
      <c r="D49" s="124" t="s">
        <v>360</v>
      </c>
      <c r="E49" s="129">
        <v>450</v>
      </c>
      <c r="F49" s="129">
        <v>300</v>
      </c>
      <c r="G49" s="127">
        <f t="shared" ref="G49" si="7">E49+F49</f>
        <v>750</v>
      </c>
      <c r="H49" s="127">
        <v>6</v>
      </c>
      <c r="I49" s="128">
        <v>10</v>
      </c>
      <c r="J49" s="127">
        <f t="shared" ref="J49" si="8">H49+I49</f>
        <v>16</v>
      </c>
      <c r="K49" s="127">
        <f t="shared" ref="K49" si="9">J49%*G49</f>
        <v>120</v>
      </c>
      <c r="L49" s="127">
        <f t="shared" ref="L49" si="10">5%*((G49)+(K49))</f>
        <v>43.5</v>
      </c>
      <c r="M49" s="127">
        <f>K49+L49</f>
        <v>163.5</v>
      </c>
      <c r="N49" s="129">
        <f t="shared" ref="N49" si="11">(+M49+G49)*C49</f>
        <v>2051805.0420000001</v>
      </c>
      <c r="O49" s="130">
        <f t="shared" ref="O49" si="12">N49/C49</f>
        <v>913.5</v>
      </c>
      <c r="P49" s="166"/>
      <c r="U49" s="193">
        <f>2.53*1.9</f>
        <v>4.8069999999999995</v>
      </c>
      <c r="V49" s="194">
        <v>51.77</v>
      </c>
      <c r="W49" s="194">
        <f t="shared" ref="W49:W50" si="13">V49*300</f>
        <v>15531.000000000002</v>
      </c>
      <c r="X49" s="194">
        <f t="shared" ref="X49:X50" si="14">V49*320</f>
        <v>16566.400000000001</v>
      </c>
      <c r="Y49" s="194">
        <f t="shared" ref="Y49:Y50" si="15">V49*340</f>
        <v>17601.8</v>
      </c>
      <c r="Z49" s="194">
        <f t="shared" ref="Z49:Z50" si="16">V49*440</f>
        <v>22778.800000000003</v>
      </c>
      <c r="AA49" s="190"/>
      <c r="AB49" s="195">
        <f t="shared" ref="AB49:AB50" si="17">Z49-AC49</f>
        <v>17084.100000000002</v>
      </c>
      <c r="AC49" s="195">
        <f t="shared" ref="AC49:AC50" si="18">Z49*0.25</f>
        <v>5694.7000000000007</v>
      </c>
    </row>
    <row r="50" spans="1:29" s="179" customFormat="1">
      <c r="A50" s="265"/>
      <c r="B50" s="197"/>
      <c r="C50" s="181"/>
      <c r="D50" s="181"/>
      <c r="E50" s="181"/>
      <c r="F50" s="181"/>
      <c r="G50" s="186"/>
      <c r="H50" s="186"/>
      <c r="I50" s="186"/>
      <c r="J50" s="186"/>
      <c r="K50" s="186"/>
      <c r="L50" s="186"/>
      <c r="M50" s="224" t="s">
        <v>343</v>
      </c>
      <c r="N50" s="240">
        <f>SUM(N49:N49)</f>
        <v>2051805.0420000001</v>
      </c>
      <c r="O50" s="198"/>
      <c r="P50" s="182">
        <f>N50</f>
        <v>2051805.0420000001</v>
      </c>
      <c r="U50" s="193">
        <f>2.53*2.25</f>
        <v>5.6924999999999999</v>
      </c>
      <c r="V50" s="193">
        <v>61.25</v>
      </c>
      <c r="W50" s="194">
        <f t="shared" si="13"/>
        <v>18375</v>
      </c>
      <c r="X50" s="194">
        <f t="shared" si="14"/>
        <v>19600</v>
      </c>
      <c r="Y50" s="194">
        <f t="shared" si="15"/>
        <v>20825</v>
      </c>
      <c r="Z50" s="194">
        <f t="shared" si="16"/>
        <v>26950</v>
      </c>
      <c r="AA50" s="190"/>
      <c r="AB50" s="195">
        <f t="shared" si="17"/>
        <v>20212.5</v>
      </c>
      <c r="AC50" s="195">
        <f t="shared" si="18"/>
        <v>6737.5</v>
      </c>
    </row>
    <row r="51" spans="1:29" s="179" customFormat="1">
      <c r="A51" s="263">
        <v>3</v>
      </c>
      <c r="B51" s="280" t="s">
        <v>371</v>
      </c>
      <c r="C51" s="171"/>
      <c r="D51" s="172"/>
      <c r="E51" s="171"/>
      <c r="F51" s="171"/>
      <c r="G51" s="173"/>
      <c r="H51" s="174"/>
      <c r="I51" s="174"/>
      <c r="J51" s="175"/>
      <c r="K51" s="175"/>
      <c r="L51" s="175"/>
      <c r="M51" s="174"/>
      <c r="N51" s="176"/>
      <c r="O51" s="177"/>
      <c r="P51" s="182"/>
      <c r="U51" s="199"/>
      <c r="V51" s="199"/>
      <c r="W51" s="200"/>
      <c r="X51" s="200"/>
      <c r="Y51" s="200"/>
      <c r="Z51" s="200"/>
      <c r="AA51" s="190"/>
      <c r="AB51" s="195"/>
      <c r="AC51" s="195"/>
    </row>
    <row r="52" spans="1:29" s="179" customFormat="1">
      <c r="A52" s="262">
        <v>3.1</v>
      </c>
      <c r="B52" s="241" t="s">
        <v>393</v>
      </c>
      <c r="C52" s="129">
        <v>1</v>
      </c>
      <c r="D52" s="124" t="s">
        <v>5</v>
      </c>
      <c r="E52" s="129">
        <v>5000</v>
      </c>
      <c r="F52" s="129">
        <v>5000</v>
      </c>
      <c r="G52" s="127">
        <f t="shared" ref="G52:G56" si="19">E52+F52</f>
        <v>10000</v>
      </c>
      <c r="H52" s="127">
        <v>6</v>
      </c>
      <c r="I52" s="128">
        <v>10</v>
      </c>
      <c r="J52" s="127">
        <f t="shared" ref="J52:J56" si="20">H52+I52</f>
        <v>16</v>
      </c>
      <c r="K52" s="127">
        <f t="shared" ref="K52:K56" si="21">J52%*G52</f>
        <v>1600</v>
      </c>
      <c r="L52" s="127">
        <f t="shared" ref="L52:L56" si="22">5%*((G52)+(K52))</f>
        <v>580</v>
      </c>
      <c r="M52" s="127">
        <f t="shared" ref="M52:M56" si="23">K52+L52</f>
        <v>2180</v>
      </c>
      <c r="N52" s="129">
        <f t="shared" ref="N52:N56" si="24">(+M52+G52)*C52</f>
        <v>12180</v>
      </c>
      <c r="O52" s="130">
        <f t="shared" ref="O52:O56" si="25">N52/C52</f>
        <v>12180</v>
      </c>
      <c r="P52" s="182"/>
      <c r="U52" s="199"/>
      <c r="V52" s="199"/>
      <c r="W52" s="200"/>
      <c r="X52" s="200"/>
      <c r="Y52" s="200"/>
      <c r="Z52" s="200"/>
      <c r="AA52" s="190"/>
      <c r="AB52" s="195"/>
      <c r="AC52" s="195"/>
    </row>
    <row r="53" spans="1:29" s="179" customFormat="1">
      <c r="A53" s="262">
        <v>3.2</v>
      </c>
      <c r="B53" s="241" t="s">
        <v>372</v>
      </c>
      <c r="C53" s="129">
        <v>1</v>
      </c>
      <c r="D53" s="124" t="s">
        <v>5</v>
      </c>
      <c r="E53" s="129">
        <v>25000</v>
      </c>
      <c r="F53" s="129">
        <v>25000</v>
      </c>
      <c r="G53" s="127">
        <f t="shared" si="19"/>
        <v>50000</v>
      </c>
      <c r="H53" s="127">
        <v>6</v>
      </c>
      <c r="I53" s="128">
        <v>10</v>
      </c>
      <c r="J53" s="127">
        <f t="shared" si="20"/>
        <v>16</v>
      </c>
      <c r="K53" s="127">
        <f t="shared" si="21"/>
        <v>8000</v>
      </c>
      <c r="L53" s="127">
        <f t="shared" si="22"/>
        <v>2900</v>
      </c>
      <c r="M53" s="127">
        <f t="shared" si="23"/>
        <v>10900</v>
      </c>
      <c r="N53" s="129">
        <f t="shared" si="24"/>
        <v>60900</v>
      </c>
      <c r="O53" s="130">
        <f t="shared" si="25"/>
        <v>60900</v>
      </c>
      <c r="P53" s="182"/>
      <c r="U53" s="199"/>
      <c r="V53" s="199"/>
      <c r="W53" s="200"/>
      <c r="X53" s="200"/>
      <c r="Y53" s="200"/>
      <c r="Z53" s="200"/>
      <c r="AA53" s="190"/>
      <c r="AB53" s="195"/>
      <c r="AC53" s="195"/>
    </row>
    <row r="54" spans="1:29" s="179" customFormat="1">
      <c r="A54" s="262">
        <v>3.3</v>
      </c>
      <c r="B54" s="241" t="s">
        <v>373</v>
      </c>
      <c r="C54" s="129">
        <v>1</v>
      </c>
      <c r="D54" s="124" t="s">
        <v>5</v>
      </c>
      <c r="E54" s="129">
        <v>10000</v>
      </c>
      <c r="F54" s="129">
        <v>10000</v>
      </c>
      <c r="G54" s="127">
        <f t="shared" si="19"/>
        <v>20000</v>
      </c>
      <c r="H54" s="127">
        <v>6</v>
      </c>
      <c r="I54" s="128">
        <v>10</v>
      </c>
      <c r="J54" s="127">
        <f t="shared" si="20"/>
        <v>16</v>
      </c>
      <c r="K54" s="127">
        <f t="shared" si="21"/>
        <v>3200</v>
      </c>
      <c r="L54" s="127">
        <f t="shared" si="22"/>
        <v>1160</v>
      </c>
      <c r="M54" s="127">
        <f t="shared" si="23"/>
        <v>4360</v>
      </c>
      <c r="N54" s="129">
        <f t="shared" si="24"/>
        <v>24360</v>
      </c>
      <c r="O54" s="130">
        <f t="shared" si="25"/>
        <v>24360</v>
      </c>
      <c r="P54" s="182"/>
      <c r="U54" s="199"/>
      <c r="V54" s="199"/>
      <c r="W54" s="200"/>
      <c r="X54" s="200"/>
      <c r="Y54" s="200"/>
      <c r="Z54" s="200"/>
      <c r="AA54" s="190"/>
      <c r="AB54" s="195"/>
      <c r="AC54" s="195"/>
    </row>
    <row r="55" spans="1:29" s="179" customFormat="1" ht="36">
      <c r="A55" s="262">
        <v>3.4</v>
      </c>
      <c r="B55" s="241" t="s">
        <v>396</v>
      </c>
      <c r="C55" s="131">
        <v>1</v>
      </c>
      <c r="D55" s="132" t="s">
        <v>5</v>
      </c>
      <c r="E55" s="131">
        <v>25000</v>
      </c>
      <c r="F55" s="131">
        <v>5000</v>
      </c>
      <c r="G55" s="127">
        <f t="shared" si="19"/>
        <v>30000</v>
      </c>
      <c r="H55" s="127">
        <v>6</v>
      </c>
      <c r="I55" s="128">
        <v>10</v>
      </c>
      <c r="J55" s="127">
        <f t="shared" si="20"/>
        <v>16</v>
      </c>
      <c r="K55" s="127">
        <f t="shared" si="21"/>
        <v>4800</v>
      </c>
      <c r="L55" s="127">
        <f t="shared" si="22"/>
        <v>1740</v>
      </c>
      <c r="M55" s="127">
        <f t="shared" si="23"/>
        <v>6540</v>
      </c>
      <c r="N55" s="129">
        <f t="shared" si="24"/>
        <v>36540</v>
      </c>
      <c r="O55" s="130">
        <f t="shared" si="25"/>
        <v>36540</v>
      </c>
      <c r="P55" s="182"/>
      <c r="U55" s="199"/>
      <c r="V55" s="199"/>
      <c r="W55" s="200"/>
      <c r="X55" s="200"/>
      <c r="Y55" s="200"/>
      <c r="Z55" s="200"/>
      <c r="AA55" s="190"/>
      <c r="AB55" s="195"/>
      <c r="AC55" s="195"/>
    </row>
    <row r="56" spans="1:29" s="179" customFormat="1">
      <c r="A56" s="262">
        <v>3.5</v>
      </c>
      <c r="B56" s="241" t="s">
        <v>374</v>
      </c>
      <c r="C56" s="129">
        <v>1</v>
      </c>
      <c r="D56" s="124" t="s">
        <v>360</v>
      </c>
      <c r="E56" s="129">
        <v>5000</v>
      </c>
      <c r="F56" s="129">
        <v>5000</v>
      </c>
      <c r="G56" s="127">
        <f t="shared" si="19"/>
        <v>10000</v>
      </c>
      <c r="H56" s="127">
        <v>6</v>
      </c>
      <c r="I56" s="128">
        <v>10</v>
      </c>
      <c r="J56" s="127">
        <f t="shared" si="20"/>
        <v>16</v>
      </c>
      <c r="K56" s="127">
        <f t="shared" si="21"/>
        <v>1600</v>
      </c>
      <c r="L56" s="127">
        <f t="shared" si="22"/>
        <v>580</v>
      </c>
      <c r="M56" s="127">
        <f t="shared" si="23"/>
        <v>2180</v>
      </c>
      <c r="N56" s="129">
        <f t="shared" si="24"/>
        <v>12180</v>
      </c>
      <c r="O56" s="130">
        <f t="shared" si="25"/>
        <v>12180</v>
      </c>
      <c r="P56" s="182"/>
      <c r="U56" s="199"/>
      <c r="V56" s="199"/>
      <c r="W56" s="200"/>
      <c r="X56" s="200"/>
      <c r="Y56" s="200"/>
      <c r="Z56" s="200"/>
      <c r="AA56" s="190"/>
      <c r="AB56" s="195"/>
      <c r="AC56" s="195"/>
    </row>
    <row r="57" spans="1:29" s="179" customFormat="1">
      <c r="A57" s="196"/>
      <c r="B57" s="197"/>
      <c r="C57" s="181"/>
      <c r="D57" s="181"/>
      <c r="E57" s="181"/>
      <c r="F57" s="181"/>
      <c r="G57" s="186"/>
      <c r="H57" s="186"/>
      <c r="I57" s="186"/>
      <c r="J57" s="186"/>
      <c r="K57" s="186"/>
      <c r="L57" s="186"/>
      <c r="M57" s="224" t="s">
        <v>343</v>
      </c>
      <c r="N57" s="240">
        <f>SUM(N52:N56)</f>
        <v>146160</v>
      </c>
      <c r="O57" s="198"/>
      <c r="P57" s="182">
        <f>N57</f>
        <v>146160</v>
      </c>
      <c r="U57" s="199"/>
      <c r="V57" s="199"/>
      <c r="W57" s="200"/>
      <c r="X57" s="200"/>
      <c r="Y57" s="200"/>
      <c r="Z57" s="200"/>
      <c r="AA57" s="190"/>
      <c r="AB57" s="195"/>
      <c r="AC57" s="195"/>
    </row>
    <row r="58" spans="1:29">
      <c r="A58" s="318" t="s">
        <v>233</v>
      </c>
      <c r="B58" s="319"/>
      <c r="C58" s="320">
        <f>P58</f>
        <v>2255715.0420000004</v>
      </c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201"/>
      <c r="P58" s="159">
        <f>SUM(P45:P57)</f>
        <v>2255715.0420000004</v>
      </c>
      <c r="Q58" s="158" t="e">
        <f>#REF!/1.3/1.7</f>
        <v>#REF!</v>
      </c>
    </row>
    <row r="59" spans="1:29" s="159" customFormat="1" ht="23.25" thickBot="1">
      <c r="A59" s="310" t="s">
        <v>234</v>
      </c>
      <c r="B59" s="311"/>
      <c r="C59" s="312" t="s">
        <v>397</v>
      </c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202"/>
      <c r="Q59" s="158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</row>
    <row r="60" spans="1:29" s="159" customFormat="1">
      <c r="A60" s="203"/>
      <c r="B60" s="204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6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</row>
    <row r="61" spans="1:29" s="159" customFormat="1">
      <c r="A61" s="137" t="s">
        <v>207</v>
      </c>
      <c r="B61" s="237"/>
      <c r="C61" s="137" t="s">
        <v>358</v>
      </c>
      <c r="D61" s="238"/>
      <c r="E61" s="238"/>
      <c r="F61" s="207"/>
      <c r="G61" s="207"/>
      <c r="H61" s="207"/>
      <c r="I61" s="207"/>
      <c r="J61" s="207"/>
      <c r="K61" s="207"/>
      <c r="L61" s="207"/>
      <c r="M61" s="207"/>
      <c r="N61" s="207"/>
      <c r="O61" s="20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</row>
    <row r="62" spans="1:29" s="159" customFormat="1" ht="24.75">
      <c r="A62" s="134"/>
      <c r="B62" s="138"/>
      <c r="C62" s="139"/>
      <c r="D62" s="140"/>
      <c r="E62" s="139"/>
      <c r="F62" s="209"/>
      <c r="G62" s="210"/>
      <c r="H62" s="210"/>
      <c r="I62" s="210"/>
      <c r="J62" s="210"/>
      <c r="K62" s="210"/>
      <c r="L62" s="210"/>
      <c r="M62" s="207"/>
      <c r="N62" s="210"/>
      <c r="O62" s="210"/>
      <c r="Q62" s="158"/>
      <c r="R62" s="158"/>
      <c r="S62" s="158"/>
      <c r="T62" s="158"/>
      <c r="U62" s="158"/>
      <c r="V62" s="158"/>
      <c r="W62" s="158"/>
      <c r="X62" s="158"/>
      <c r="Y62" s="158"/>
      <c r="Z62" s="158"/>
      <c r="AA62" s="158"/>
      <c r="AB62" s="158"/>
      <c r="AC62" s="158"/>
    </row>
    <row r="63" spans="1:29" s="159" customFormat="1" ht="24.75">
      <c r="A63" s="137"/>
      <c r="B63" s="138"/>
      <c r="C63" s="139"/>
      <c r="D63" s="140"/>
      <c r="E63" s="139"/>
      <c r="F63" s="209"/>
      <c r="G63" s="210"/>
      <c r="H63" s="210"/>
      <c r="I63" s="210"/>
      <c r="J63" s="210"/>
      <c r="K63" s="210"/>
      <c r="L63" s="210"/>
      <c r="M63" s="210"/>
      <c r="N63" s="210"/>
      <c r="O63" s="210"/>
      <c r="Q63" s="158"/>
      <c r="R63" s="158"/>
      <c r="S63" s="158"/>
      <c r="T63" s="158"/>
      <c r="U63" s="158"/>
      <c r="V63" s="158"/>
      <c r="W63" s="158"/>
      <c r="X63" s="158"/>
      <c r="Y63" s="158"/>
      <c r="Z63" s="158"/>
      <c r="AA63" s="158"/>
      <c r="AB63" s="158"/>
      <c r="AC63" s="158"/>
    </row>
    <row r="64" spans="1:29" s="159" customFormat="1" ht="24.75">
      <c r="A64" s="142" t="s">
        <v>357</v>
      </c>
      <c r="B64" s="140"/>
      <c r="C64" s="148" t="s">
        <v>355</v>
      </c>
      <c r="D64" s="139"/>
      <c r="E64" s="141"/>
      <c r="F64" s="211"/>
      <c r="G64" s="210"/>
      <c r="H64" s="212"/>
      <c r="I64" s="210"/>
      <c r="J64" s="210"/>
      <c r="K64" s="210"/>
      <c r="L64" s="210"/>
      <c r="M64" s="210"/>
      <c r="N64" s="210"/>
      <c r="O64" s="210"/>
      <c r="Q64" s="158"/>
      <c r="R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</row>
    <row r="65" spans="1:29" s="159" customFormat="1" ht="24.75">
      <c r="A65" s="143" t="s">
        <v>395</v>
      </c>
      <c r="B65" s="140"/>
      <c r="C65" s="144" t="s">
        <v>366</v>
      </c>
      <c r="D65" s="139"/>
      <c r="E65" s="141"/>
      <c r="F65" s="213"/>
      <c r="G65" s="210"/>
      <c r="H65" s="158"/>
      <c r="I65" s="158"/>
      <c r="J65" s="158"/>
      <c r="K65" s="158"/>
      <c r="L65" s="158"/>
      <c r="M65" s="158"/>
      <c r="N65" s="158"/>
      <c r="O65" s="210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</row>
    <row r="66" spans="1:29" s="159" customFormat="1" ht="24.75">
      <c r="A66" s="143"/>
      <c r="B66" s="140"/>
      <c r="C66" s="143"/>
      <c r="D66" s="139"/>
      <c r="E66" s="141"/>
      <c r="F66" s="213"/>
      <c r="G66" s="210"/>
      <c r="H66" s="158"/>
      <c r="I66" s="158"/>
      <c r="J66" s="158"/>
      <c r="K66" s="158"/>
      <c r="L66" s="158"/>
      <c r="M66" s="158"/>
      <c r="N66" s="158"/>
      <c r="O66" s="210"/>
      <c r="Q66" s="158"/>
      <c r="R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</row>
    <row r="67" spans="1:29" s="159" customFormat="1" ht="24.75">
      <c r="A67" s="144"/>
      <c r="B67" s="145"/>
      <c r="C67" s="146"/>
      <c r="D67" s="136"/>
      <c r="E67" s="135"/>
      <c r="F67" s="160"/>
      <c r="G67" s="158"/>
      <c r="H67" s="158"/>
      <c r="I67" s="158"/>
      <c r="J67" s="158"/>
      <c r="K67" s="158"/>
      <c r="L67" s="158"/>
      <c r="M67" s="158"/>
      <c r="N67" s="158"/>
      <c r="O67" s="210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</row>
    <row r="68" spans="1:29" s="159" customFormat="1" ht="24.75">
      <c r="A68" s="137" t="s">
        <v>10</v>
      </c>
      <c r="B68" s="147"/>
      <c r="C68" s="137" t="s">
        <v>270</v>
      </c>
      <c r="D68" s="138"/>
      <c r="E68" s="139"/>
      <c r="F68" s="210"/>
      <c r="G68" s="212"/>
      <c r="H68" s="212"/>
      <c r="I68" s="210"/>
      <c r="J68" s="210"/>
      <c r="K68" s="210"/>
      <c r="L68" s="210"/>
      <c r="M68" s="210"/>
      <c r="N68" s="210"/>
      <c r="O68" s="210"/>
      <c r="Q68" s="158"/>
      <c r="R68" s="158"/>
      <c r="S68" s="158"/>
      <c r="T68" s="158"/>
      <c r="U68" s="158"/>
      <c r="V68" s="158"/>
      <c r="W68" s="158"/>
      <c r="X68" s="158"/>
      <c r="Y68" s="158"/>
      <c r="Z68" s="158"/>
      <c r="AA68" s="158"/>
      <c r="AB68" s="158"/>
      <c r="AC68" s="158"/>
    </row>
    <row r="69" spans="1:29" s="159" customFormat="1" ht="24.75">
      <c r="A69" s="151"/>
      <c r="B69" s="138"/>
      <c r="C69" s="137"/>
      <c r="D69" s="138"/>
      <c r="E69" s="139"/>
      <c r="F69" s="210"/>
      <c r="G69" s="210"/>
      <c r="H69" s="212"/>
      <c r="I69" s="210"/>
      <c r="J69" s="210"/>
      <c r="K69" s="210"/>
      <c r="L69" s="210"/>
      <c r="M69" s="210"/>
      <c r="N69" s="210"/>
      <c r="O69" s="210"/>
      <c r="Q69" s="158"/>
      <c r="R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</row>
    <row r="70" spans="1:29" s="159" customFormat="1" ht="24.75">
      <c r="A70" s="151"/>
      <c r="B70" s="138"/>
      <c r="C70" s="137"/>
      <c r="D70" s="138"/>
      <c r="E70" s="139"/>
      <c r="F70" s="210"/>
      <c r="G70" s="210" t="s">
        <v>51</v>
      </c>
      <c r="H70" s="212"/>
      <c r="I70" s="210"/>
      <c r="J70" s="210"/>
      <c r="K70" s="210"/>
      <c r="L70" s="210"/>
      <c r="M70" s="210"/>
      <c r="N70" s="210"/>
      <c r="O70" s="210"/>
      <c r="Q70" s="158"/>
      <c r="R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</row>
    <row r="71" spans="1:29" s="159" customFormat="1" ht="24.75">
      <c r="A71" s="142" t="s">
        <v>398</v>
      </c>
      <c r="B71" s="149"/>
      <c r="C71" s="148" t="s">
        <v>345</v>
      </c>
      <c r="D71" s="138"/>
      <c r="E71" s="133"/>
      <c r="F71" s="211"/>
      <c r="G71" s="210"/>
      <c r="H71" s="210"/>
      <c r="I71" s="210"/>
      <c r="J71" s="210"/>
      <c r="K71" s="210"/>
      <c r="L71" s="210"/>
      <c r="M71" s="210"/>
      <c r="N71" s="210"/>
      <c r="O71" s="210"/>
      <c r="Q71" s="158"/>
      <c r="R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</row>
    <row r="72" spans="1:29" s="159" customFormat="1" ht="24.75">
      <c r="A72" s="143" t="s">
        <v>367</v>
      </c>
      <c r="B72" s="149"/>
      <c r="C72" s="144" t="s">
        <v>346</v>
      </c>
      <c r="D72" s="138"/>
      <c r="E72" s="133"/>
      <c r="F72" s="213"/>
      <c r="G72" s="210"/>
      <c r="H72" s="210"/>
      <c r="I72" s="210"/>
      <c r="J72" s="210"/>
      <c r="K72" s="210"/>
      <c r="L72" s="210"/>
      <c r="M72" s="210"/>
      <c r="N72" s="210"/>
      <c r="O72" s="210"/>
      <c r="Q72" s="158"/>
      <c r="R72" s="158"/>
      <c r="S72" s="158"/>
      <c r="T72" s="158"/>
      <c r="U72" s="158"/>
      <c r="V72" s="158"/>
      <c r="W72" s="158"/>
      <c r="X72" s="158"/>
      <c r="Y72" s="158"/>
      <c r="Z72" s="158"/>
      <c r="AA72" s="158"/>
      <c r="AB72" s="158"/>
      <c r="AC72" s="158"/>
    </row>
    <row r="73" spans="1:29" s="159" customFormat="1" ht="24.75">
      <c r="A73" s="144"/>
      <c r="B73" s="149"/>
      <c r="C73" s="144"/>
      <c r="D73" s="138"/>
      <c r="E73" s="133"/>
      <c r="F73" s="213"/>
      <c r="G73" s="210"/>
      <c r="H73" s="210"/>
      <c r="I73" s="210"/>
      <c r="J73" s="210"/>
      <c r="K73" s="210"/>
      <c r="L73" s="210"/>
      <c r="M73" s="210"/>
      <c r="N73" s="210"/>
      <c r="O73" s="210"/>
      <c r="Q73" s="158"/>
      <c r="R73" s="158"/>
      <c r="S73" s="158"/>
      <c r="T73" s="158"/>
      <c r="U73" s="158"/>
      <c r="V73" s="158"/>
      <c r="W73" s="158"/>
      <c r="X73" s="158"/>
      <c r="Y73" s="158"/>
      <c r="Z73" s="158"/>
      <c r="AA73" s="158"/>
      <c r="AB73" s="158"/>
      <c r="AC73" s="158"/>
    </row>
    <row r="74" spans="1:29" s="159" customFormat="1" ht="24.75">
      <c r="A74" s="137"/>
      <c r="B74" s="138"/>
      <c r="C74" s="143"/>
      <c r="D74" s="149"/>
      <c r="E74" s="150"/>
      <c r="F74" s="213"/>
      <c r="G74" s="210"/>
      <c r="H74" s="158"/>
      <c r="I74" s="210"/>
      <c r="J74" s="210"/>
      <c r="K74" s="210"/>
      <c r="L74" s="211"/>
      <c r="M74" s="210"/>
      <c r="N74" s="210"/>
      <c r="O74" s="210"/>
      <c r="Q74" s="158"/>
      <c r="R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</row>
    <row r="75" spans="1:29" s="159" customFormat="1" ht="24.75">
      <c r="A75" s="313" t="s">
        <v>394</v>
      </c>
      <c r="B75" s="313"/>
      <c r="C75" s="141" t="s">
        <v>11</v>
      </c>
      <c r="D75" s="149"/>
      <c r="E75" s="139"/>
      <c r="F75" s="210"/>
      <c r="G75" s="210"/>
      <c r="H75" s="158"/>
      <c r="I75" s="210"/>
      <c r="J75" s="210"/>
      <c r="K75" s="210"/>
      <c r="L75" s="213"/>
      <c r="M75" s="210"/>
      <c r="N75" s="210"/>
      <c r="O75" s="210"/>
      <c r="Q75" s="158"/>
      <c r="R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</row>
    <row r="76" spans="1:29" s="159" customFormat="1" ht="24.75">
      <c r="A76" s="143" t="s">
        <v>294</v>
      </c>
      <c r="B76" s="239"/>
      <c r="C76" s="135"/>
      <c r="D76" s="149"/>
      <c r="E76" s="139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</row>
    <row r="77" spans="1:29" s="159" customFormat="1" ht="24.75">
      <c r="A77" s="158"/>
      <c r="B77" s="138"/>
      <c r="C77" s="135"/>
      <c r="D77" s="149"/>
      <c r="E77" s="139"/>
      <c r="F77" s="210"/>
      <c r="G77" s="210"/>
      <c r="H77" s="209"/>
      <c r="I77" s="210"/>
      <c r="J77" s="210"/>
      <c r="K77" s="210"/>
      <c r="L77" s="210"/>
      <c r="M77" s="210"/>
      <c r="N77" s="210"/>
      <c r="O77" s="210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</row>
    <row r="78" spans="1:29" s="159" customFormat="1" ht="24.75">
      <c r="A78" s="158"/>
      <c r="B78" s="138"/>
      <c r="C78" s="152" t="s">
        <v>368</v>
      </c>
      <c r="D78" s="133"/>
      <c r="E78" s="133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</row>
    <row r="79" spans="1:29" s="159" customFormat="1" ht="24.75">
      <c r="A79" s="158"/>
      <c r="B79" s="138"/>
      <c r="C79" s="143" t="s">
        <v>16</v>
      </c>
      <c r="D79" s="133"/>
      <c r="E79" s="133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</row>
    <row r="80" spans="1:29" s="159" customFormat="1" ht="24.75">
      <c r="A80" s="133"/>
      <c r="B80" s="133"/>
      <c r="C80" s="135"/>
      <c r="D80" s="149"/>
      <c r="E80" s="139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</row>
    <row r="81" spans="1:29" s="159" customFormat="1" ht="24.75">
      <c r="A81" s="133"/>
      <c r="B81" s="138"/>
      <c r="C81" s="143"/>
      <c r="D81" s="149"/>
      <c r="E81" s="139"/>
      <c r="F81" s="210"/>
      <c r="G81" s="210"/>
      <c r="H81" s="158"/>
      <c r="I81" s="210"/>
      <c r="J81" s="210"/>
      <c r="K81" s="210"/>
      <c r="L81" s="210"/>
      <c r="M81" s="210"/>
      <c r="N81" s="210"/>
      <c r="O81" s="210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</row>
    <row r="82" spans="1:29" s="159" customFormat="1" ht="24.75">
      <c r="A82" s="158"/>
      <c r="B82" s="149"/>
      <c r="C82" s="139"/>
      <c r="D82" s="149"/>
      <c r="E82" s="139"/>
      <c r="F82" s="210"/>
      <c r="G82" s="210"/>
      <c r="H82" s="158"/>
      <c r="I82" s="210"/>
      <c r="J82" s="210"/>
      <c r="K82" s="210"/>
      <c r="L82" s="210"/>
      <c r="M82" s="210"/>
      <c r="N82" s="210"/>
      <c r="O82" s="210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</row>
    <row r="83" spans="1:29" s="159" customFormat="1" ht="24.75">
      <c r="A83" s="158"/>
      <c r="B83" s="149"/>
      <c r="C83" s="133"/>
      <c r="D83" s="133"/>
      <c r="E83" s="133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</row>
    <row r="84" spans="1:29" s="159" customFormat="1" ht="24.75">
      <c r="A84" s="158"/>
      <c r="B84" s="215"/>
      <c r="C84" s="158"/>
      <c r="D84" s="158"/>
      <c r="E84" s="158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</row>
    <row r="85" spans="1:29" s="159" customFormat="1" ht="24.75">
      <c r="A85" s="158"/>
      <c r="B85" s="215"/>
      <c r="C85" s="158"/>
      <c r="D85" s="158"/>
      <c r="E85" s="158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</row>
    <row r="86" spans="1:29" s="159" customFormat="1" ht="24.75">
      <c r="A86" s="158"/>
      <c r="B86" s="158"/>
      <c r="C86" s="158"/>
      <c r="D86" s="158"/>
      <c r="E86" s="158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Q86" s="158"/>
      <c r="R86" s="158"/>
      <c r="S86" s="158"/>
      <c r="T86" s="158"/>
      <c r="U86" s="158"/>
      <c r="V86" s="158"/>
      <c r="W86" s="158"/>
      <c r="X86" s="158"/>
      <c r="Y86" s="158"/>
      <c r="Z86" s="158"/>
      <c r="AA86" s="158"/>
      <c r="AB86" s="158"/>
      <c r="AC86" s="158"/>
    </row>
    <row r="87" spans="1:29" s="159" customFormat="1" ht="24.75">
      <c r="A87" s="158"/>
      <c r="B87" s="158"/>
      <c r="C87" s="209"/>
      <c r="D87" s="158"/>
      <c r="E87" s="158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</row>
    <row r="88" spans="1:29" s="159" customFormat="1" ht="24.75">
      <c r="A88" s="158"/>
      <c r="B88" s="158"/>
      <c r="C88" s="209"/>
      <c r="D88" s="214"/>
      <c r="E88" s="209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</row>
    <row r="89" spans="1:29" s="159" customFormat="1" ht="24.75">
      <c r="A89" s="216"/>
      <c r="B89" s="215"/>
      <c r="C89" s="209"/>
      <c r="D89" s="217"/>
      <c r="E89" s="209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</row>
    <row r="90" spans="1:29" s="159" customFormat="1" ht="24.75">
      <c r="A90" s="158"/>
      <c r="B90" s="158"/>
      <c r="C90" s="209"/>
      <c r="D90" s="217"/>
      <c r="E90" s="209"/>
      <c r="F90" s="209"/>
      <c r="G90" s="210"/>
      <c r="H90" s="210"/>
      <c r="I90" s="210"/>
      <c r="J90" s="210"/>
      <c r="K90" s="210"/>
      <c r="L90" s="210"/>
      <c r="M90" s="210"/>
      <c r="N90" s="210"/>
      <c r="O90" s="210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</row>
    <row r="91" spans="1:29" ht="24.75">
      <c r="A91" s="158"/>
      <c r="B91" s="158"/>
      <c r="C91" s="209"/>
      <c r="D91" s="217"/>
      <c r="E91" s="209"/>
      <c r="F91" s="209"/>
      <c r="G91" s="210"/>
      <c r="H91" s="210"/>
      <c r="I91" s="210"/>
      <c r="J91" s="210"/>
    </row>
    <row r="92" spans="1:29" ht="24.75">
      <c r="A92" s="158"/>
      <c r="B92" s="158"/>
      <c r="C92" s="209"/>
      <c r="D92" s="217"/>
      <c r="E92" s="209"/>
      <c r="F92" s="209"/>
      <c r="G92" s="210"/>
      <c r="H92" s="210"/>
      <c r="I92" s="210"/>
      <c r="J92" s="210"/>
    </row>
    <row r="93" spans="1:29" ht="24.75">
      <c r="A93" s="158"/>
      <c r="B93" s="158"/>
      <c r="C93" s="209"/>
      <c r="D93" s="217"/>
      <c r="E93" s="209"/>
      <c r="F93" s="209"/>
      <c r="G93" s="210"/>
      <c r="H93" s="210"/>
      <c r="I93" s="210"/>
      <c r="J93" s="210"/>
    </row>
    <row r="94" spans="1:29" ht="24.75">
      <c r="A94" s="158"/>
      <c r="B94" s="158"/>
      <c r="C94" s="209"/>
      <c r="D94" s="217"/>
      <c r="E94" s="209"/>
      <c r="F94" s="209"/>
      <c r="G94" s="210"/>
      <c r="H94" s="210"/>
      <c r="I94" s="210"/>
      <c r="J94" s="210"/>
    </row>
    <row r="95" spans="1:29" ht="24.75">
      <c r="H95" s="210"/>
      <c r="I95" s="210"/>
      <c r="J95" s="210"/>
    </row>
    <row r="96" spans="1:29" ht="24.75">
      <c r="H96" s="210"/>
      <c r="I96" s="210"/>
      <c r="J96" s="210"/>
    </row>
    <row r="97" spans="1:10" ht="24.75">
      <c r="B97" s="215"/>
      <c r="C97" s="209"/>
      <c r="D97" s="217"/>
      <c r="E97" s="209"/>
      <c r="F97" s="209"/>
      <c r="G97" s="210"/>
      <c r="H97" s="210"/>
      <c r="I97" s="210"/>
      <c r="J97" s="210"/>
    </row>
    <row r="98" spans="1:10" ht="24.75">
      <c r="A98" s="216"/>
      <c r="B98" s="215"/>
      <c r="C98" s="209"/>
      <c r="D98" s="217"/>
      <c r="E98" s="209"/>
      <c r="F98" s="209"/>
      <c r="G98" s="210"/>
      <c r="H98" s="210"/>
      <c r="I98" s="210"/>
      <c r="J98" s="210"/>
    </row>
    <row r="99" spans="1:10" ht="24.75">
      <c r="A99" s="216"/>
      <c r="B99" s="215"/>
      <c r="C99" s="209"/>
      <c r="D99" s="217"/>
      <c r="E99" s="209"/>
      <c r="F99" s="209"/>
      <c r="G99" s="210"/>
      <c r="H99" s="210"/>
      <c r="I99" s="210"/>
      <c r="J99" s="210"/>
    </row>
    <row r="141" spans="1:16" s="179" customFormat="1">
      <c r="A141" s="153"/>
      <c r="B141" s="218"/>
      <c r="C141" s="160"/>
      <c r="D141" s="161"/>
      <c r="E141" s="160"/>
      <c r="F141" s="160"/>
      <c r="G141" s="158"/>
      <c r="H141" s="158"/>
      <c r="I141" s="158"/>
      <c r="J141" s="158"/>
      <c r="K141" s="158"/>
      <c r="L141" s="158"/>
      <c r="M141" s="158"/>
      <c r="N141" s="158"/>
      <c r="O141" s="158"/>
      <c r="P141" s="182"/>
    </row>
    <row r="142" spans="1:16" s="179" customFormat="1">
      <c r="A142" s="153"/>
      <c r="B142" s="218"/>
      <c r="C142" s="160"/>
      <c r="D142" s="161"/>
      <c r="E142" s="160"/>
      <c r="F142" s="160"/>
      <c r="G142" s="158"/>
      <c r="H142" s="158"/>
      <c r="I142" s="158"/>
      <c r="J142" s="158"/>
      <c r="K142" s="158"/>
      <c r="L142" s="158"/>
      <c r="M142" s="158"/>
      <c r="N142" s="158"/>
      <c r="O142" s="158"/>
      <c r="P142" s="182"/>
    </row>
    <row r="143" spans="1:16" s="179" customFormat="1">
      <c r="A143" s="153"/>
      <c r="B143" s="218"/>
      <c r="C143" s="160"/>
      <c r="D143" s="161"/>
      <c r="E143" s="160"/>
      <c r="F143" s="160"/>
      <c r="G143" s="158"/>
      <c r="H143" s="158"/>
      <c r="I143" s="158"/>
      <c r="J143" s="158"/>
      <c r="K143" s="158"/>
      <c r="L143" s="158"/>
      <c r="M143" s="158"/>
      <c r="N143" s="158"/>
      <c r="O143" s="158"/>
      <c r="P143" s="182"/>
    </row>
    <row r="161" spans="1:29" s="159" customFormat="1" ht="135">
      <c r="A161" s="196" t="e">
        <f>+#REF!+0.1</f>
        <v>#REF!</v>
      </c>
      <c r="B161" s="219" t="s">
        <v>353</v>
      </c>
      <c r="C161" s="181">
        <v>1</v>
      </c>
      <c r="D161" s="183" t="s">
        <v>1</v>
      </c>
      <c r="E161" s="181">
        <v>2100000</v>
      </c>
      <c r="F161" s="184">
        <v>500000</v>
      </c>
      <c r="G161" s="220">
        <f t="shared" ref="G161:G162" si="26">E161+F161</f>
        <v>2600000</v>
      </c>
      <c r="H161" s="186">
        <v>0</v>
      </c>
      <c r="I161" s="186">
        <v>8</v>
      </c>
      <c r="J161" s="186">
        <f t="shared" ref="J161:J162" si="27">H161+I161</f>
        <v>8</v>
      </c>
      <c r="K161" s="186">
        <f t="shared" ref="K161:K162" si="28">J161%*G161</f>
        <v>208000</v>
      </c>
      <c r="L161" s="186">
        <f t="shared" ref="L161:L162" si="29">5%*((G161)+(K161))</f>
        <v>140400</v>
      </c>
      <c r="M161" s="186">
        <f t="shared" ref="M161:M162" si="30">K161+L161</f>
        <v>348400</v>
      </c>
      <c r="N161" s="221">
        <f t="shared" ref="N161:N162" si="31">ROUND(C161*(G161+M161),2)</f>
        <v>2948400</v>
      </c>
      <c r="O161" s="222">
        <f t="shared" ref="O161:O162" si="32">N161/C161</f>
        <v>2948400</v>
      </c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  <c r="AA161" s="158"/>
      <c r="AB161" s="158"/>
      <c r="AC161" s="158"/>
    </row>
    <row r="162" spans="1:29" s="159" customFormat="1" ht="90">
      <c r="A162" s="196" t="e">
        <f>+A161+0.1</f>
        <v>#REF!</v>
      </c>
      <c r="B162" s="219" t="s">
        <v>354</v>
      </c>
      <c r="C162" s="181">
        <v>1</v>
      </c>
      <c r="D162" s="183" t="s">
        <v>1</v>
      </c>
      <c r="E162" s="181">
        <v>40000</v>
      </c>
      <c r="F162" s="184">
        <v>5000</v>
      </c>
      <c r="G162" s="220">
        <f t="shared" si="26"/>
        <v>45000</v>
      </c>
      <c r="H162" s="186">
        <v>0</v>
      </c>
      <c r="I162" s="186">
        <v>8</v>
      </c>
      <c r="J162" s="186">
        <f t="shared" si="27"/>
        <v>8</v>
      </c>
      <c r="K162" s="186">
        <f t="shared" si="28"/>
        <v>3600</v>
      </c>
      <c r="L162" s="186">
        <f t="shared" si="29"/>
        <v>2430</v>
      </c>
      <c r="M162" s="186">
        <f t="shared" si="30"/>
        <v>6030</v>
      </c>
      <c r="N162" s="221">
        <f t="shared" si="31"/>
        <v>51030</v>
      </c>
      <c r="O162" s="222">
        <f t="shared" si="32"/>
        <v>51030</v>
      </c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  <c r="AA162" s="158"/>
      <c r="AB162" s="158"/>
      <c r="AC162" s="158"/>
    </row>
    <row r="163" spans="1:29" s="159" customFormat="1" ht="24.75">
      <c r="A163" s="223"/>
      <c r="B163" s="197"/>
      <c r="C163" s="184"/>
      <c r="D163" s="183"/>
      <c r="E163" s="184"/>
      <c r="F163" s="184"/>
      <c r="G163" s="220"/>
      <c r="H163" s="186"/>
      <c r="I163" s="186"/>
      <c r="J163" s="186"/>
      <c r="K163" s="186"/>
      <c r="L163" s="186"/>
      <c r="M163" s="224" t="s">
        <v>343</v>
      </c>
      <c r="N163" s="225">
        <f>SUM(N161:N162)</f>
        <v>2999430</v>
      </c>
      <c r="O163" s="226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  <c r="AA163" s="158"/>
      <c r="AB163" s="158"/>
      <c r="AC163" s="158"/>
    </row>
  </sheetData>
  <mergeCells count="23">
    <mergeCell ref="A59:B59"/>
    <mergeCell ref="C59:N59"/>
    <mergeCell ref="A75:B75"/>
    <mergeCell ref="N16:N17"/>
    <mergeCell ref="O16:O17"/>
    <mergeCell ref="A58:B58"/>
    <mergeCell ref="C58:N58"/>
    <mergeCell ref="F16:F17"/>
    <mergeCell ref="G16:G41"/>
    <mergeCell ref="H16:I16"/>
    <mergeCell ref="J16:K16"/>
    <mergeCell ref="L16:L17"/>
    <mergeCell ref="M16:M17"/>
    <mergeCell ref="A16:A43"/>
    <mergeCell ref="B16:B43"/>
    <mergeCell ref="C16:C17"/>
    <mergeCell ref="D16:D17"/>
    <mergeCell ref="E16:E17"/>
    <mergeCell ref="H2:I2"/>
    <mergeCell ref="H3:I3"/>
    <mergeCell ref="G4:J4"/>
    <mergeCell ref="G5:J5"/>
    <mergeCell ref="G6:J6"/>
  </mergeCells>
  <printOptions horizontalCentered="1"/>
  <pageMargins left="0.62992125984251968" right="0.62992125984251968" top="0.62992125984251968" bottom="0.62992125984251968" header="0.31496062992125984" footer="0.31496062992125984"/>
  <pageSetup paperSize="256" scale="33" fitToHeight="0" orientation="landscape" r:id="rId1"/>
  <headerFooter>
    <oddFooter>&amp;L&amp;12Project:  REPAINTING OF TSU HOTEL FACADE
Location Tarlac State University Lucinda Extension Campus
Duration: 60 Calendar Days&amp;C&amp;12Page &amp;P of &amp;[1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BA36-95B7-4C72-9533-EDD2E445F723}">
  <sheetPr>
    <pageSetUpPr fitToPage="1"/>
  </sheetPr>
  <dimension ref="A1:G52"/>
  <sheetViews>
    <sheetView tabSelected="1" view="pageBreakPreview" topLeftCell="A18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2</v>
      </c>
      <c r="B9" s="246" t="s">
        <v>498</v>
      </c>
      <c r="C9" s="247"/>
      <c r="D9" s="247"/>
      <c r="E9" s="247"/>
      <c r="F9" s="247"/>
    </row>
    <row r="10" spans="1:6" ht="45">
      <c r="A10" s="248">
        <v>2.5</v>
      </c>
      <c r="B10" s="249" t="s">
        <v>521</v>
      </c>
      <c r="C10" s="300">
        <v>35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FCF16-7373-4570-8D90-4005B4453EFC}">
  <sheetPr>
    <pageSetUpPr fitToPage="1"/>
  </sheetPr>
  <dimension ref="A1:G52"/>
  <sheetViews>
    <sheetView tabSelected="1" view="pageBreakPreview" topLeftCell="A18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2</v>
      </c>
      <c r="B9" s="246" t="s">
        <v>498</v>
      </c>
      <c r="C9" s="247"/>
      <c r="D9" s="247"/>
      <c r="E9" s="247"/>
      <c r="F9" s="247"/>
    </row>
    <row r="10" spans="1:6" ht="45">
      <c r="A10" s="248">
        <v>2.6</v>
      </c>
      <c r="B10" s="249" t="s">
        <v>533</v>
      </c>
      <c r="C10" s="300">
        <v>705.9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9DEEC-FC07-4AF7-AB9C-7EE5DE94098F}">
  <sheetPr>
    <pageSetUpPr fitToPage="1"/>
  </sheetPr>
  <dimension ref="A1:G52"/>
  <sheetViews>
    <sheetView tabSelected="1" view="pageBreakPreview" topLeftCell="A22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2</v>
      </c>
      <c r="B9" s="246" t="s">
        <v>498</v>
      </c>
      <c r="C9" s="247"/>
      <c r="D9" s="247"/>
      <c r="E9" s="247"/>
      <c r="F9" s="247"/>
    </row>
    <row r="10" spans="1:6" ht="58.5" customHeight="1">
      <c r="A10" s="248">
        <v>2.7</v>
      </c>
      <c r="B10" s="249" t="s">
        <v>529</v>
      </c>
      <c r="C10" s="300">
        <v>200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C70C-F837-449F-94C4-A198CABC7058}">
  <sheetPr>
    <pageSetUpPr fitToPage="1"/>
  </sheetPr>
  <dimension ref="A1:G52"/>
  <sheetViews>
    <sheetView tabSelected="1" view="pageBreakPreview" topLeftCell="A22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2</v>
      </c>
      <c r="B9" s="246" t="s">
        <v>498</v>
      </c>
      <c r="C9" s="247"/>
      <c r="D9" s="247"/>
      <c r="E9" s="247"/>
      <c r="F9" s="247"/>
    </row>
    <row r="10" spans="1:6" ht="58.5" customHeight="1">
      <c r="A10" s="248">
        <v>2.8</v>
      </c>
      <c r="B10" s="249" t="s">
        <v>534</v>
      </c>
      <c r="C10" s="300">
        <v>81.48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E118-D0D4-4E61-8877-E7DE12DFBE25}">
  <sheetPr>
    <pageSetUpPr fitToPage="1"/>
  </sheetPr>
  <dimension ref="A1:G52"/>
  <sheetViews>
    <sheetView tabSelected="1" view="pageBreakPreview" topLeftCell="A22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2</v>
      </c>
      <c r="B9" s="246" t="s">
        <v>498</v>
      </c>
      <c r="C9" s="247"/>
      <c r="D9" s="247"/>
      <c r="E9" s="247"/>
      <c r="F9" s="247"/>
    </row>
    <row r="10" spans="1:6" ht="58.5" customHeight="1">
      <c r="A10" s="248">
        <v>2.9</v>
      </c>
      <c r="B10" s="249" t="s">
        <v>511</v>
      </c>
      <c r="C10" s="300">
        <v>202.78492500000002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EEED-3E09-4086-AA64-12F2B93E88A3}">
  <sheetPr>
    <pageSetUpPr fitToPage="1"/>
  </sheetPr>
  <dimension ref="A1:G52"/>
  <sheetViews>
    <sheetView tabSelected="1" view="pageBreakPreview" topLeftCell="A17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3</v>
      </c>
      <c r="B9" s="246" t="s">
        <v>490</v>
      </c>
      <c r="C9" s="247"/>
      <c r="D9" s="247"/>
      <c r="E9" s="247"/>
      <c r="F9" s="247"/>
    </row>
    <row r="10" spans="1:6" ht="58.5" customHeight="1">
      <c r="A10" s="248">
        <v>3.1</v>
      </c>
      <c r="B10" s="249" t="s">
        <v>513</v>
      </c>
      <c r="C10" s="300">
        <v>81.378000000000014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9A244-F2EA-4CDD-8180-FADD5FDE4E60}">
  <sheetPr>
    <pageSetUpPr fitToPage="1"/>
  </sheetPr>
  <dimension ref="A1:G52"/>
  <sheetViews>
    <sheetView tabSelected="1" view="pageBreakPreview" topLeftCell="A23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3</v>
      </c>
      <c r="B9" s="246" t="s">
        <v>490</v>
      </c>
      <c r="C9" s="247"/>
      <c r="D9" s="247"/>
      <c r="E9" s="247"/>
      <c r="F9" s="247"/>
    </row>
    <row r="10" spans="1:6" ht="58.5" customHeight="1">
      <c r="A10" s="248">
        <v>3.2</v>
      </c>
      <c r="B10" s="249" t="s">
        <v>525</v>
      </c>
      <c r="C10" s="300">
        <v>613.30500000000006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E73C-C4C6-4C4F-8176-BB5800180EA3}">
  <sheetPr>
    <pageSetUpPr fitToPage="1"/>
  </sheetPr>
  <dimension ref="A1:G52"/>
  <sheetViews>
    <sheetView tabSelected="1" view="pageBreakPreview" topLeftCell="A24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3</v>
      </c>
      <c r="B9" s="246" t="s">
        <v>490</v>
      </c>
      <c r="C9" s="247"/>
      <c r="D9" s="247"/>
      <c r="E9" s="247"/>
      <c r="F9" s="247"/>
    </row>
    <row r="10" spans="1:6" ht="58.5" customHeight="1">
      <c r="A10" s="248">
        <v>3.3</v>
      </c>
      <c r="B10" s="249" t="s">
        <v>526</v>
      </c>
      <c r="C10" s="300">
        <v>294.33800000000002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9499-EB88-4FF9-8719-9530ABC55153}">
  <sheetPr>
    <pageSetUpPr fitToPage="1"/>
  </sheetPr>
  <dimension ref="A1:G52"/>
  <sheetViews>
    <sheetView tabSelected="1" view="pageBreakPreview" topLeftCell="A19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3</v>
      </c>
      <c r="B9" s="246" t="s">
        <v>490</v>
      </c>
      <c r="C9" s="247"/>
      <c r="D9" s="247"/>
      <c r="E9" s="247"/>
      <c r="F9" s="247"/>
    </row>
    <row r="10" spans="1:6" ht="58.5" customHeight="1">
      <c r="A10" s="248">
        <v>3.4</v>
      </c>
      <c r="B10" s="249" t="s">
        <v>523</v>
      </c>
      <c r="C10" s="300">
        <v>108.63999999999999</v>
      </c>
      <c r="D10" s="251" t="s">
        <v>98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802A6-0D67-47A6-B6EF-2C5A79021A5E}">
  <sheetPr>
    <pageSetUpPr fitToPage="1"/>
  </sheetPr>
  <dimension ref="A1:G52"/>
  <sheetViews>
    <sheetView tabSelected="1" view="pageBreakPreview" topLeftCell="A24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3</v>
      </c>
      <c r="B9" s="246" t="s">
        <v>490</v>
      </c>
      <c r="C9" s="247"/>
      <c r="D9" s="247"/>
      <c r="E9" s="247"/>
      <c r="F9" s="247"/>
    </row>
    <row r="10" spans="1:6" ht="58.5" customHeight="1">
      <c r="A10" s="248">
        <v>3.5</v>
      </c>
      <c r="B10" s="249" t="s">
        <v>524</v>
      </c>
      <c r="C10" s="300">
        <v>13.640000000000002</v>
      </c>
      <c r="D10" s="251" t="s">
        <v>98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68"/>
  <sheetViews>
    <sheetView view="pageBreakPreview" topLeftCell="E10" zoomScale="60" zoomScaleNormal="55" zoomScalePageLayoutView="55" workbookViewId="0">
      <selection activeCell="S69" sqref="S69"/>
    </sheetView>
  </sheetViews>
  <sheetFormatPr defaultColWidth="9.140625" defaultRowHeight="22.5"/>
  <cols>
    <col min="1" max="1" width="16.140625" style="153" customWidth="1"/>
    <col min="2" max="2" width="103.140625" style="218" customWidth="1"/>
    <col min="3" max="3" width="15.5703125" style="160" customWidth="1"/>
    <col min="4" max="4" width="15.5703125" style="161" customWidth="1"/>
    <col min="5" max="6" width="20.7109375" style="160" customWidth="1"/>
    <col min="7" max="7" width="25.7109375" style="158" customWidth="1"/>
    <col min="8" max="11" width="20.7109375" style="158" customWidth="1"/>
    <col min="12" max="13" width="25.7109375" style="158" customWidth="1"/>
    <col min="14" max="14" width="30.7109375" style="158" customWidth="1"/>
    <col min="15" max="15" width="22.5703125" style="158" customWidth="1"/>
    <col min="16" max="16" width="23" style="159" customWidth="1"/>
    <col min="17" max="17" width="28.42578125" style="158" customWidth="1"/>
    <col min="18" max="18" width="25.140625" style="158" customWidth="1"/>
    <col min="19" max="19" width="25.7109375" style="158" customWidth="1"/>
    <col min="20" max="20" width="23.7109375" style="158" customWidth="1"/>
    <col min="21" max="21" width="9.140625" style="158"/>
    <col min="22" max="22" width="10" style="158" bestFit="1" customWidth="1"/>
    <col min="23" max="23" width="9.140625" style="158"/>
    <col min="24" max="24" width="23.28515625" style="158" bestFit="1" customWidth="1"/>
    <col min="25" max="25" width="9.85546875" style="158" bestFit="1" customWidth="1"/>
    <col min="26" max="26" width="10.7109375" style="158" bestFit="1" customWidth="1"/>
    <col min="27" max="29" width="14.7109375" style="158" bestFit="1" customWidth="1"/>
    <col min="30" max="30" width="9.140625" style="158"/>
    <col min="31" max="31" width="11" style="158" customWidth="1"/>
    <col min="32" max="32" width="10.42578125" style="158" customWidth="1"/>
    <col min="33" max="16384" width="9.140625" style="158"/>
  </cols>
  <sheetData>
    <row r="1" spans="1:16">
      <c r="B1" s="154"/>
      <c r="C1" s="155"/>
      <c r="D1" s="156"/>
      <c r="E1" s="155"/>
      <c r="F1" s="155"/>
      <c r="G1" s="157"/>
      <c r="I1" s="157"/>
      <c r="J1" s="157"/>
      <c r="K1" s="157"/>
      <c r="L1" s="157"/>
      <c r="M1" s="157"/>
      <c r="N1" s="157"/>
    </row>
    <row r="2" spans="1:16">
      <c r="B2" s="154"/>
      <c r="C2" s="155"/>
      <c r="D2" s="156"/>
      <c r="E2" s="155"/>
      <c r="F2" s="155"/>
      <c r="H2" s="307"/>
      <c r="I2" s="307"/>
      <c r="J2" s="157"/>
      <c r="K2" s="157"/>
      <c r="L2" s="157"/>
      <c r="M2" s="157"/>
      <c r="N2" s="157"/>
    </row>
    <row r="3" spans="1:16">
      <c r="B3" s="154"/>
      <c r="C3" s="155"/>
      <c r="D3" s="156"/>
      <c r="E3" s="155"/>
      <c r="F3" s="155"/>
      <c r="G3" s="157"/>
      <c r="H3" s="308"/>
      <c r="I3" s="308"/>
      <c r="J3" s="157"/>
      <c r="K3" s="157"/>
      <c r="L3" s="157"/>
      <c r="M3" s="157"/>
      <c r="N3" s="157"/>
    </row>
    <row r="4" spans="1:16">
      <c r="B4" s="154"/>
      <c r="G4" s="308"/>
      <c r="H4" s="308"/>
      <c r="I4" s="308"/>
      <c r="J4" s="308"/>
    </row>
    <row r="5" spans="1:16">
      <c r="B5" s="154"/>
      <c r="G5" s="309"/>
      <c r="H5" s="309"/>
      <c r="I5" s="309"/>
      <c r="J5" s="309"/>
    </row>
    <row r="6" spans="1:16">
      <c r="B6" s="154"/>
      <c r="G6" s="309"/>
      <c r="H6" s="309"/>
      <c r="I6" s="309"/>
      <c r="J6" s="309"/>
    </row>
    <row r="7" spans="1:16">
      <c r="B7" s="154"/>
      <c r="H7" s="162"/>
    </row>
    <row r="8" spans="1:16">
      <c r="B8" s="154"/>
    </row>
    <row r="9" spans="1:16">
      <c r="B9" s="154"/>
      <c r="I9" s="163"/>
    </row>
    <row r="10" spans="1:16">
      <c r="B10" s="154"/>
      <c r="I10" s="163"/>
    </row>
    <row r="11" spans="1:16">
      <c r="B11" s="154"/>
      <c r="I11" s="163"/>
    </row>
    <row r="12" spans="1:16">
      <c r="B12" s="154"/>
      <c r="I12" s="163"/>
    </row>
    <row r="13" spans="1:16">
      <c r="B13" s="154"/>
      <c r="I13" s="163"/>
      <c r="P13" s="159">
        <v>1528453.5</v>
      </c>
    </row>
    <row r="14" spans="1:16">
      <c r="B14" s="154"/>
      <c r="I14" s="163"/>
    </row>
    <row r="15" spans="1:16" ht="23.25" thickBot="1">
      <c r="B15" s="154"/>
    </row>
    <row r="16" spans="1:16" s="165" customFormat="1" ht="24" customHeight="1">
      <c r="A16" s="321" t="s">
        <v>138</v>
      </c>
      <c r="B16" s="323" t="s">
        <v>19</v>
      </c>
      <c r="C16" s="305" t="s">
        <v>2</v>
      </c>
      <c r="D16" s="305" t="s">
        <v>0</v>
      </c>
      <c r="E16" s="305" t="s">
        <v>348</v>
      </c>
      <c r="F16" s="305" t="s">
        <v>344</v>
      </c>
      <c r="G16" s="314" t="s">
        <v>328</v>
      </c>
      <c r="H16" s="305" t="s">
        <v>327</v>
      </c>
      <c r="I16" s="305"/>
      <c r="J16" s="314" t="s">
        <v>332</v>
      </c>
      <c r="K16" s="314"/>
      <c r="L16" s="314" t="s">
        <v>333</v>
      </c>
      <c r="M16" s="314" t="s">
        <v>334</v>
      </c>
      <c r="N16" s="314" t="s">
        <v>335</v>
      </c>
      <c r="O16" s="316" t="s">
        <v>231</v>
      </c>
      <c r="P16" s="164"/>
    </row>
    <row r="17" spans="1:16" s="165" customFormat="1" ht="34.5" customHeight="1">
      <c r="A17" s="322"/>
      <c r="B17" s="324"/>
      <c r="C17" s="306"/>
      <c r="D17" s="306"/>
      <c r="E17" s="306"/>
      <c r="F17" s="306"/>
      <c r="G17" s="315"/>
      <c r="H17" s="227" t="s">
        <v>329</v>
      </c>
      <c r="I17" s="227" t="s">
        <v>330</v>
      </c>
      <c r="J17" s="227" t="s">
        <v>331</v>
      </c>
      <c r="K17" s="227" t="s">
        <v>336</v>
      </c>
      <c r="L17" s="315"/>
      <c r="M17" s="315"/>
      <c r="N17" s="315"/>
      <c r="O17" s="317"/>
      <c r="P17" s="164"/>
    </row>
    <row r="18" spans="1:16" s="165" customFormat="1" ht="69" hidden="1" customHeight="1">
      <c r="A18" s="322"/>
      <c r="B18" s="324"/>
      <c r="C18" s="228"/>
      <c r="D18" s="228"/>
      <c r="E18" s="228"/>
      <c r="F18" s="228"/>
      <c r="G18" s="315"/>
      <c r="H18" s="227"/>
      <c r="I18" s="227"/>
      <c r="J18" s="227"/>
      <c r="K18" s="227"/>
      <c r="L18" s="227"/>
      <c r="M18" s="227"/>
      <c r="N18" s="227"/>
      <c r="O18" s="229"/>
      <c r="P18" s="164"/>
    </row>
    <row r="19" spans="1:16" s="167" customFormat="1" ht="69" hidden="1" customHeight="1">
      <c r="A19" s="322"/>
      <c r="B19" s="324"/>
      <c r="C19" s="228">
        <v>1</v>
      </c>
      <c r="D19" s="228" t="s">
        <v>18</v>
      </c>
      <c r="E19" s="228"/>
      <c r="F19" s="228"/>
      <c r="G19" s="315"/>
      <c r="H19" s="228" t="s">
        <v>177</v>
      </c>
      <c r="I19" s="228"/>
      <c r="J19" s="228"/>
      <c r="K19" s="228"/>
      <c r="L19" s="228"/>
      <c r="M19" s="228"/>
      <c r="N19" s="228"/>
      <c r="O19" s="229"/>
      <c r="P19" s="166"/>
    </row>
    <row r="20" spans="1:16" s="167" customFormat="1" ht="69" hidden="1" customHeight="1">
      <c r="A20" s="322"/>
      <c r="B20" s="324"/>
      <c r="C20" s="228">
        <v>1</v>
      </c>
      <c r="D20" s="228" t="s">
        <v>18</v>
      </c>
      <c r="E20" s="228"/>
      <c r="F20" s="228"/>
      <c r="G20" s="315"/>
      <c r="H20" s="228"/>
      <c r="I20" s="228"/>
      <c r="J20" s="228"/>
      <c r="K20" s="228"/>
      <c r="L20" s="228"/>
      <c r="M20" s="228"/>
      <c r="N20" s="228"/>
      <c r="O20" s="229"/>
      <c r="P20" s="166"/>
    </row>
    <row r="21" spans="1:16" s="165" customFormat="1" ht="69" hidden="1" customHeight="1">
      <c r="A21" s="322"/>
      <c r="B21" s="324"/>
      <c r="C21" s="228">
        <v>2</v>
      </c>
      <c r="D21" s="228" t="s">
        <v>18</v>
      </c>
      <c r="E21" s="228"/>
      <c r="F21" s="228"/>
      <c r="G21" s="315"/>
      <c r="H21" s="227"/>
      <c r="I21" s="227"/>
      <c r="J21" s="227"/>
      <c r="K21" s="227"/>
      <c r="L21" s="227"/>
      <c r="M21" s="227"/>
      <c r="N21" s="227"/>
      <c r="O21" s="229"/>
      <c r="P21" s="164"/>
    </row>
    <row r="22" spans="1:16" s="167" customFormat="1" ht="69" hidden="1" customHeight="1">
      <c r="A22" s="322"/>
      <c r="B22" s="324"/>
      <c r="C22" s="228">
        <v>4</v>
      </c>
      <c r="D22" s="228" t="s">
        <v>18</v>
      </c>
      <c r="E22" s="228"/>
      <c r="F22" s="228"/>
      <c r="G22" s="315"/>
      <c r="H22" s="228"/>
      <c r="I22" s="228"/>
      <c r="J22" s="228"/>
      <c r="K22" s="228"/>
      <c r="L22" s="228"/>
      <c r="M22" s="228"/>
      <c r="N22" s="228"/>
      <c r="O22" s="229"/>
      <c r="P22" s="166"/>
    </row>
    <row r="23" spans="1:16" s="167" customFormat="1" ht="69" hidden="1" customHeight="1">
      <c r="A23" s="322"/>
      <c r="B23" s="324"/>
      <c r="C23" s="228">
        <v>1</v>
      </c>
      <c r="D23" s="228" t="s">
        <v>1</v>
      </c>
      <c r="E23" s="228"/>
      <c r="F23" s="228"/>
      <c r="G23" s="315"/>
      <c r="H23" s="228"/>
      <c r="I23" s="228"/>
      <c r="J23" s="228"/>
      <c r="K23" s="228"/>
      <c r="L23" s="228"/>
      <c r="M23" s="228"/>
      <c r="N23" s="228"/>
      <c r="O23" s="229"/>
      <c r="P23" s="166"/>
    </row>
    <row r="24" spans="1:16" s="165" customFormat="1" ht="69" hidden="1" customHeight="1">
      <c r="A24" s="322"/>
      <c r="B24" s="324"/>
      <c r="C24" s="228">
        <v>1</v>
      </c>
      <c r="D24" s="228" t="s">
        <v>1</v>
      </c>
      <c r="E24" s="228"/>
      <c r="F24" s="228"/>
      <c r="G24" s="315"/>
      <c r="H24" s="227"/>
      <c r="I24" s="227"/>
      <c r="J24" s="227"/>
      <c r="K24" s="227"/>
      <c r="L24" s="227"/>
      <c r="M24" s="227"/>
      <c r="N24" s="227"/>
      <c r="O24" s="229"/>
      <c r="P24" s="164"/>
    </row>
    <row r="25" spans="1:16" s="167" customFormat="1" ht="69" hidden="1" customHeight="1">
      <c r="A25" s="322"/>
      <c r="B25" s="324"/>
      <c r="C25" s="228">
        <v>8</v>
      </c>
      <c r="D25" s="228" t="s">
        <v>18</v>
      </c>
      <c r="E25" s="228"/>
      <c r="F25" s="228"/>
      <c r="G25" s="315"/>
      <c r="H25" s="228"/>
      <c r="I25" s="228"/>
      <c r="J25" s="228"/>
      <c r="K25" s="228"/>
      <c r="L25" s="228"/>
      <c r="M25" s="228"/>
      <c r="N25" s="228"/>
      <c r="O25" s="229"/>
      <c r="P25" s="166"/>
    </row>
    <row r="26" spans="1:16" s="167" customFormat="1" ht="69" hidden="1" customHeight="1">
      <c r="A26" s="322"/>
      <c r="B26" s="324"/>
      <c r="C26" s="228">
        <v>2</v>
      </c>
      <c r="D26" s="228" t="s">
        <v>18</v>
      </c>
      <c r="E26" s="228"/>
      <c r="F26" s="228"/>
      <c r="G26" s="315"/>
      <c r="H26" s="228"/>
      <c r="I26" s="228"/>
      <c r="J26" s="228"/>
      <c r="K26" s="228"/>
      <c r="L26" s="228"/>
      <c r="M26" s="228"/>
      <c r="N26" s="228"/>
      <c r="O26" s="229"/>
      <c r="P26" s="166"/>
    </row>
    <row r="27" spans="1:16" s="167" customFormat="1" ht="69" hidden="1" customHeight="1">
      <c r="A27" s="322"/>
      <c r="B27" s="324"/>
      <c r="C27" s="228">
        <v>1</v>
      </c>
      <c r="D27" s="228" t="s">
        <v>18</v>
      </c>
      <c r="E27" s="228"/>
      <c r="F27" s="228"/>
      <c r="G27" s="315"/>
      <c r="H27" s="228"/>
      <c r="I27" s="228"/>
      <c r="J27" s="228"/>
      <c r="K27" s="228"/>
      <c r="L27" s="228"/>
      <c r="M27" s="228"/>
      <c r="N27" s="228"/>
      <c r="O27" s="229"/>
      <c r="P27" s="166"/>
    </row>
    <row r="28" spans="1:16" s="167" customFormat="1" ht="69" hidden="1" customHeight="1">
      <c r="A28" s="322"/>
      <c r="B28" s="324"/>
      <c r="C28" s="228">
        <v>3</v>
      </c>
      <c r="D28" s="228" t="s">
        <v>18</v>
      </c>
      <c r="E28" s="228"/>
      <c r="F28" s="228"/>
      <c r="G28" s="315"/>
      <c r="H28" s="228"/>
      <c r="I28" s="228"/>
      <c r="J28" s="228"/>
      <c r="K28" s="228"/>
      <c r="L28" s="228"/>
      <c r="M28" s="228"/>
      <c r="N28" s="228"/>
      <c r="O28" s="229"/>
      <c r="P28" s="166"/>
    </row>
    <row r="29" spans="1:16" s="167" customFormat="1" ht="69" hidden="1" customHeight="1">
      <c r="A29" s="322"/>
      <c r="B29" s="324"/>
      <c r="C29" s="228">
        <v>1</v>
      </c>
      <c r="D29" s="228" t="s">
        <v>18</v>
      </c>
      <c r="E29" s="228"/>
      <c r="F29" s="228"/>
      <c r="G29" s="315"/>
      <c r="H29" s="228"/>
      <c r="I29" s="228"/>
      <c r="J29" s="228"/>
      <c r="K29" s="228"/>
      <c r="L29" s="228"/>
      <c r="M29" s="228"/>
      <c r="N29" s="228"/>
      <c r="O29" s="229"/>
      <c r="P29" s="166"/>
    </row>
    <row r="30" spans="1:16" s="167" customFormat="1" ht="69" hidden="1" customHeight="1">
      <c r="A30" s="322"/>
      <c r="B30" s="324"/>
      <c r="C30" s="228">
        <v>2</v>
      </c>
      <c r="D30" s="228" t="s">
        <v>18</v>
      </c>
      <c r="E30" s="228"/>
      <c r="F30" s="228"/>
      <c r="G30" s="315"/>
      <c r="H30" s="228"/>
      <c r="I30" s="228"/>
      <c r="J30" s="228"/>
      <c r="K30" s="228"/>
      <c r="L30" s="228"/>
      <c r="M30" s="228"/>
      <c r="N30" s="228"/>
      <c r="O30" s="229"/>
      <c r="P30" s="166"/>
    </row>
    <row r="31" spans="1:16" s="167" customFormat="1" ht="69" hidden="1" customHeight="1">
      <c r="A31" s="322"/>
      <c r="B31" s="324"/>
      <c r="C31" s="228">
        <v>1</v>
      </c>
      <c r="D31" s="228" t="s">
        <v>18</v>
      </c>
      <c r="E31" s="228"/>
      <c r="F31" s="228"/>
      <c r="G31" s="315"/>
      <c r="H31" s="228"/>
      <c r="I31" s="228"/>
      <c r="J31" s="228"/>
      <c r="K31" s="228"/>
      <c r="L31" s="228"/>
      <c r="M31" s="228"/>
      <c r="N31" s="228"/>
      <c r="O31" s="229"/>
      <c r="P31" s="166"/>
    </row>
    <row r="32" spans="1:16" s="167" customFormat="1" ht="69" hidden="1" customHeight="1">
      <c r="A32" s="322"/>
      <c r="B32" s="324"/>
      <c r="C32" s="228">
        <v>1</v>
      </c>
      <c r="D32" s="228" t="s">
        <v>18</v>
      </c>
      <c r="E32" s="228"/>
      <c r="F32" s="228"/>
      <c r="G32" s="315"/>
      <c r="H32" s="228"/>
      <c r="I32" s="228"/>
      <c r="J32" s="228"/>
      <c r="K32" s="228"/>
      <c r="L32" s="228"/>
      <c r="M32" s="228"/>
      <c r="N32" s="228"/>
      <c r="O32" s="229"/>
      <c r="P32" s="166"/>
    </row>
    <row r="33" spans="1:24" s="168" customFormat="1" ht="69" hidden="1" customHeight="1">
      <c r="A33" s="322"/>
      <c r="B33" s="324"/>
      <c r="C33" s="228"/>
      <c r="D33" s="228"/>
      <c r="E33" s="228"/>
      <c r="F33" s="228"/>
      <c r="G33" s="315"/>
      <c r="H33" s="228"/>
      <c r="I33" s="228"/>
      <c r="J33" s="228"/>
      <c r="K33" s="228"/>
      <c r="L33" s="228"/>
      <c r="M33" s="228"/>
      <c r="N33" s="228"/>
      <c r="O33" s="229"/>
      <c r="P33" s="166"/>
      <c r="Q33" s="167"/>
      <c r="R33" s="167"/>
      <c r="S33" s="167"/>
      <c r="T33" s="167"/>
    </row>
    <row r="34" spans="1:24" s="165" customFormat="1" ht="69" hidden="1" customHeight="1">
      <c r="A34" s="322"/>
      <c r="B34" s="324"/>
      <c r="C34" s="228">
        <v>1</v>
      </c>
      <c r="D34" s="228" t="s">
        <v>1</v>
      </c>
      <c r="E34" s="228"/>
      <c r="F34" s="228"/>
      <c r="G34" s="315"/>
      <c r="H34" s="227"/>
      <c r="I34" s="227"/>
      <c r="J34" s="227"/>
      <c r="K34" s="227"/>
      <c r="L34" s="227"/>
      <c r="M34" s="227"/>
      <c r="N34" s="227"/>
      <c r="O34" s="229"/>
      <c r="P34" s="164"/>
    </row>
    <row r="35" spans="1:24" s="167" customFormat="1" ht="69" hidden="1" customHeight="1">
      <c r="A35" s="322"/>
      <c r="B35" s="324"/>
      <c r="C35" s="228">
        <v>5</v>
      </c>
      <c r="D35" s="228" t="s">
        <v>1</v>
      </c>
      <c r="E35" s="228"/>
      <c r="F35" s="228"/>
      <c r="G35" s="315"/>
      <c r="H35" s="228"/>
      <c r="I35" s="228"/>
      <c r="J35" s="228"/>
      <c r="K35" s="228"/>
      <c r="L35" s="228"/>
      <c r="M35" s="228"/>
      <c r="N35" s="228"/>
      <c r="O35" s="229"/>
      <c r="P35" s="166"/>
    </row>
    <row r="36" spans="1:24" s="167" customFormat="1" ht="69" hidden="1" customHeight="1">
      <c r="A36" s="322"/>
      <c r="B36" s="324"/>
      <c r="C36" s="228"/>
      <c r="D36" s="228"/>
      <c r="E36" s="228"/>
      <c r="F36" s="228"/>
      <c r="G36" s="315"/>
      <c r="H36" s="228"/>
      <c r="I36" s="228"/>
      <c r="J36" s="228"/>
      <c r="K36" s="228"/>
      <c r="L36" s="228"/>
      <c r="M36" s="228"/>
      <c r="N36" s="228"/>
      <c r="O36" s="229"/>
      <c r="P36" s="166"/>
    </row>
    <row r="37" spans="1:24" s="168" customFormat="1" ht="69" hidden="1" customHeight="1">
      <c r="A37" s="322"/>
      <c r="B37" s="324"/>
      <c r="C37" s="228">
        <v>4</v>
      </c>
      <c r="D37" s="228" t="s">
        <v>18</v>
      </c>
      <c r="E37" s="228"/>
      <c r="F37" s="228"/>
      <c r="G37" s="315"/>
      <c r="H37" s="228">
        <v>1000</v>
      </c>
      <c r="I37" s="228">
        <v>220</v>
      </c>
      <c r="J37" s="228"/>
      <c r="K37" s="228"/>
      <c r="L37" s="228"/>
      <c r="M37" s="228"/>
      <c r="N37" s="228"/>
      <c r="O37" s="229"/>
      <c r="P37" s="166"/>
      <c r="Q37" s="167"/>
      <c r="R37" s="167"/>
      <c r="S37" s="167"/>
      <c r="T37" s="167"/>
    </row>
    <row r="38" spans="1:24" s="168" customFormat="1" ht="69" hidden="1" customHeight="1">
      <c r="A38" s="322"/>
      <c r="B38" s="324"/>
      <c r="C38" s="228">
        <v>1</v>
      </c>
      <c r="D38" s="228" t="s">
        <v>18</v>
      </c>
      <c r="E38" s="228"/>
      <c r="F38" s="228"/>
      <c r="G38" s="315"/>
      <c r="H38" s="228">
        <v>1000</v>
      </c>
      <c r="I38" s="228">
        <v>220</v>
      </c>
      <c r="J38" s="228"/>
      <c r="K38" s="228"/>
      <c r="L38" s="228"/>
      <c r="M38" s="228"/>
      <c r="N38" s="228"/>
      <c r="O38" s="229"/>
      <c r="P38" s="166"/>
      <c r="Q38" s="167"/>
      <c r="R38" s="167"/>
      <c r="S38" s="167"/>
      <c r="T38" s="167"/>
    </row>
    <row r="39" spans="1:24" s="168" customFormat="1" ht="69" hidden="1" customHeight="1">
      <c r="A39" s="322"/>
      <c r="B39" s="324"/>
      <c r="C39" s="228">
        <v>1</v>
      </c>
      <c r="D39" s="228" t="s">
        <v>18</v>
      </c>
      <c r="E39" s="228"/>
      <c r="F39" s="228"/>
      <c r="G39" s="315"/>
      <c r="H39" s="228">
        <v>1000</v>
      </c>
      <c r="I39" s="228">
        <v>220</v>
      </c>
      <c r="J39" s="228"/>
      <c r="K39" s="228"/>
      <c r="L39" s="228"/>
      <c r="M39" s="228"/>
      <c r="N39" s="228"/>
      <c r="O39" s="229"/>
      <c r="P39" s="166"/>
      <c r="Q39" s="167"/>
      <c r="R39" s="167"/>
      <c r="S39" s="167"/>
      <c r="T39" s="167"/>
    </row>
    <row r="40" spans="1:24" s="168" customFormat="1" ht="69" hidden="1" customHeight="1">
      <c r="A40" s="322"/>
      <c r="B40" s="324"/>
      <c r="C40" s="228">
        <v>1</v>
      </c>
      <c r="D40" s="228" t="s">
        <v>5</v>
      </c>
      <c r="E40" s="228"/>
      <c r="F40" s="228"/>
      <c r="G40" s="315"/>
      <c r="H40" s="228">
        <v>2400</v>
      </c>
      <c r="I40" s="227">
        <v>528</v>
      </c>
      <c r="J40" s="228"/>
      <c r="K40" s="228"/>
      <c r="L40" s="228"/>
      <c r="M40" s="228"/>
      <c r="N40" s="228"/>
      <c r="O40" s="229"/>
      <c r="P40" s="166"/>
      <c r="Q40" s="167"/>
      <c r="R40" s="167"/>
      <c r="S40" s="167"/>
      <c r="T40" s="167"/>
    </row>
    <row r="41" spans="1:24" s="170" customFormat="1" ht="69" hidden="1" customHeight="1">
      <c r="A41" s="322"/>
      <c r="B41" s="324"/>
      <c r="C41" s="228"/>
      <c r="D41" s="228"/>
      <c r="E41" s="228"/>
      <c r="F41" s="228"/>
      <c r="G41" s="315"/>
      <c r="H41" s="230"/>
      <c r="I41" s="230"/>
      <c r="J41" s="228"/>
      <c r="K41" s="228"/>
      <c r="L41" s="228"/>
      <c r="M41" s="230"/>
      <c r="N41" s="230"/>
      <c r="O41" s="229"/>
      <c r="P41" s="169"/>
    </row>
    <row r="42" spans="1:24" s="170" customFormat="1" ht="18.75" customHeight="1">
      <c r="A42" s="322"/>
      <c r="B42" s="324"/>
      <c r="C42" s="231">
        <v>1</v>
      </c>
      <c r="D42" s="231" t="s">
        <v>349</v>
      </c>
      <c r="E42" s="231" t="s">
        <v>350</v>
      </c>
      <c r="F42" s="231" t="s">
        <v>351</v>
      </c>
      <c r="G42" s="231">
        <v>5</v>
      </c>
      <c r="H42" s="232">
        <v>6</v>
      </c>
      <c r="I42" s="232">
        <v>7</v>
      </c>
      <c r="J42" s="232">
        <v>8</v>
      </c>
      <c r="K42" s="232">
        <v>9</v>
      </c>
      <c r="L42" s="232">
        <v>10</v>
      </c>
      <c r="M42" s="232">
        <v>11</v>
      </c>
      <c r="N42" s="232">
        <v>12</v>
      </c>
      <c r="O42" s="233">
        <v>13</v>
      </c>
      <c r="P42" s="169"/>
    </row>
    <row r="43" spans="1:24" s="170" customFormat="1" ht="18.75" customHeight="1">
      <c r="A43" s="322"/>
      <c r="B43" s="324"/>
      <c r="C43" s="230"/>
      <c r="D43" s="230"/>
      <c r="E43" s="230"/>
      <c r="F43" s="230"/>
      <c r="G43" s="230" t="s">
        <v>347</v>
      </c>
      <c r="H43" s="234"/>
      <c r="I43" s="234"/>
      <c r="J43" s="235" t="s">
        <v>337</v>
      </c>
      <c r="K43" s="235" t="s">
        <v>338</v>
      </c>
      <c r="L43" s="235" t="s">
        <v>339</v>
      </c>
      <c r="M43" s="235" t="s">
        <v>340</v>
      </c>
      <c r="N43" s="235" t="s">
        <v>491</v>
      </c>
      <c r="O43" s="236" t="s">
        <v>342</v>
      </c>
      <c r="P43" s="169"/>
      <c r="Q43" s="165" t="s">
        <v>139</v>
      </c>
      <c r="R43" s="165" t="s">
        <v>140</v>
      </c>
      <c r="S43" s="165" t="s">
        <v>479</v>
      </c>
      <c r="T43" s="165" t="s">
        <v>480</v>
      </c>
    </row>
    <row r="44" spans="1:24" s="179" customFormat="1">
      <c r="A44" s="263">
        <v>1</v>
      </c>
      <c r="B44" s="242" t="s">
        <v>352</v>
      </c>
      <c r="C44" s="171"/>
      <c r="D44" s="172"/>
      <c r="E44" s="171"/>
      <c r="F44" s="171"/>
      <c r="G44" s="173"/>
      <c r="H44" s="174"/>
      <c r="I44" s="174"/>
      <c r="J44" s="175"/>
      <c r="K44" s="175"/>
      <c r="L44" s="175"/>
      <c r="M44" s="174"/>
      <c r="N44" s="176"/>
      <c r="O44" s="177"/>
      <c r="P44" s="178"/>
    </row>
    <row r="45" spans="1:24" s="179" customFormat="1" ht="36">
      <c r="A45" s="262">
        <f>+A44+0.1</f>
        <v>1.1000000000000001</v>
      </c>
      <c r="B45" s="125" t="s">
        <v>494</v>
      </c>
      <c r="C45" s="126">
        <v>1</v>
      </c>
      <c r="D45" s="126" t="s">
        <v>5</v>
      </c>
      <c r="E45" s="126">
        <v>0</v>
      </c>
      <c r="F45" s="126" t="e">
        <f>0.0075*X46</f>
        <v>#REF!</v>
      </c>
      <c r="G45" s="127" t="e">
        <f t="shared" ref="G45" si="0">E45+F45</f>
        <v>#REF!</v>
      </c>
      <c r="H45" s="127">
        <v>0</v>
      </c>
      <c r="I45" s="128">
        <v>0</v>
      </c>
      <c r="J45" s="127">
        <f t="shared" ref="J45" si="1">H45+I45</f>
        <v>0</v>
      </c>
      <c r="K45" s="127" t="e">
        <f t="shared" ref="K45" si="2">J45%*G45</f>
        <v>#REF!</v>
      </c>
      <c r="L45" s="127" t="e">
        <f t="shared" ref="L45" si="3">5%*((G45)+(K45))</f>
        <v>#REF!</v>
      </c>
      <c r="M45" s="127" t="e">
        <f t="shared" ref="M45" si="4">K45+L45</f>
        <v>#REF!</v>
      </c>
      <c r="N45" s="129" t="e">
        <f t="shared" ref="N45" si="5">(+M45+G45)*C45</f>
        <v>#REF!</v>
      </c>
      <c r="O45" s="130" t="e">
        <f t="shared" ref="O45" si="6">N45/C45</f>
        <v>#REF!</v>
      </c>
      <c r="P45" s="182"/>
      <c r="Q45" s="179">
        <f>E45*C45</f>
        <v>0</v>
      </c>
      <c r="R45" s="179" t="e">
        <f>F45*C45</f>
        <v>#REF!</v>
      </c>
      <c r="S45" s="179" t="e">
        <f>G45*C45</f>
        <v>#REF!</v>
      </c>
      <c r="T45" s="179" t="e">
        <f>M45*C45</f>
        <v>#REF!</v>
      </c>
    </row>
    <row r="46" spans="1:24" s="179" customFormat="1" ht="36">
      <c r="A46" s="262">
        <f>+A45+0.1</f>
        <v>1.2000000000000002</v>
      </c>
      <c r="B46" s="125" t="s">
        <v>369</v>
      </c>
      <c r="C46" s="126">
        <v>1</v>
      </c>
      <c r="D46" s="126" t="s">
        <v>5</v>
      </c>
      <c r="E46" s="126">
        <v>50000</v>
      </c>
      <c r="F46" s="126">
        <v>0</v>
      </c>
      <c r="G46" s="127">
        <f t="shared" ref="G46" si="7">E46+F46</f>
        <v>50000</v>
      </c>
      <c r="H46" s="127">
        <v>0</v>
      </c>
      <c r="I46" s="128">
        <v>0</v>
      </c>
      <c r="J46" s="127">
        <f t="shared" ref="J46" si="8">H46+I46</f>
        <v>0</v>
      </c>
      <c r="K46" s="127">
        <f t="shared" ref="K46" si="9">J46%*G46</f>
        <v>0</v>
      </c>
      <c r="L46" s="127">
        <f t="shared" ref="L46" si="10">5%*((G46)+(K46))</f>
        <v>2500</v>
      </c>
      <c r="M46" s="127">
        <f t="shared" ref="M46" si="11">K46+L46</f>
        <v>2500</v>
      </c>
      <c r="N46" s="129">
        <f t="shared" ref="N46" si="12">(+M46+G46)*C46</f>
        <v>52500</v>
      </c>
      <c r="O46" s="130">
        <f t="shared" ref="O46" si="13">N46/C46</f>
        <v>52500</v>
      </c>
      <c r="P46" s="182"/>
      <c r="Q46" s="179">
        <f t="shared" ref="Q46:Q67" si="14">E46*C46</f>
        <v>50000</v>
      </c>
      <c r="R46" s="179">
        <f t="shared" ref="R46:R47" si="15">F46*C46</f>
        <v>0</v>
      </c>
      <c r="S46" s="179">
        <f t="shared" ref="S46:S67" si="16">G46*C46</f>
        <v>50000</v>
      </c>
      <c r="T46" s="179">
        <f t="shared" ref="T46:T67" si="17">M46*C46</f>
        <v>2500</v>
      </c>
      <c r="X46" s="179" t="e">
        <f>SUM(S50:S67)</f>
        <v>#REF!</v>
      </c>
    </row>
    <row r="47" spans="1:24" s="179" customFormat="1">
      <c r="A47" s="262">
        <v>1.3</v>
      </c>
      <c r="B47" s="125" t="s">
        <v>497</v>
      </c>
      <c r="C47" s="126">
        <v>1</v>
      </c>
      <c r="D47" s="126" t="s">
        <v>5</v>
      </c>
      <c r="E47" s="126">
        <v>30000</v>
      </c>
      <c r="F47" s="126">
        <v>0</v>
      </c>
      <c r="G47" s="127">
        <f t="shared" ref="G47" si="18">E47+F47</f>
        <v>30000</v>
      </c>
      <c r="H47" s="127">
        <v>0</v>
      </c>
      <c r="I47" s="128">
        <v>0</v>
      </c>
      <c r="J47" s="127">
        <f t="shared" ref="J47" si="19">H47+I47</f>
        <v>0</v>
      </c>
      <c r="K47" s="127">
        <f t="shared" ref="K47" si="20">J47%*G47</f>
        <v>0</v>
      </c>
      <c r="L47" s="127">
        <f t="shared" ref="L47" si="21">5%*((G47)+(K47))</f>
        <v>1500</v>
      </c>
      <c r="M47" s="127">
        <f t="shared" ref="M47" si="22">K47+L47</f>
        <v>1500</v>
      </c>
      <c r="N47" s="129">
        <f t="shared" ref="N47" si="23">(+M47+G47)*C47</f>
        <v>31500</v>
      </c>
      <c r="O47" s="130">
        <f t="shared" ref="O47" si="24">N47/C47</f>
        <v>31500</v>
      </c>
      <c r="P47" s="182"/>
      <c r="Q47" s="179">
        <f t="shared" ref="Q47" si="25">E47*C47</f>
        <v>30000</v>
      </c>
      <c r="R47" s="179">
        <f t="shared" si="15"/>
        <v>0</v>
      </c>
      <c r="S47" s="179">
        <f t="shared" ref="S47" si="26">G47*C47</f>
        <v>30000</v>
      </c>
      <c r="T47" s="179">
        <f t="shared" ref="T47" si="27">M47*C47</f>
        <v>1500</v>
      </c>
    </row>
    <row r="48" spans="1:24" s="179" customFormat="1">
      <c r="A48" s="264"/>
      <c r="B48" s="180"/>
      <c r="C48" s="181"/>
      <c r="D48" s="183"/>
      <c r="E48" s="184"/>
      <c r="F48" s="184"/>
      <c r="G48" s="185"/>
      <c r="H48" s="186"/>
      <c r="I48" s="186"/>
      <c r="J48" s="186"/>
      <c r="K48" s="186"/>
      <c r="L48" s="187"/>
      <c r="M48" s="224" t="s">
        <v>343</v>
      </c>
      <c r="N48" s="240" t="e">
        <f>SUM(N45:N47)</f>
        <v>#REF!</v>
      </c>
      <c r="O48" s="188"/>
      <c r="P48" s="178" t="e">
        <f>N48</f>
        <v>#REF!</v>
      </c>
    </row>
    <row r="49" spans="1:32" s="179" customFormat="1" ht="30" customHeight="1">
      <c r="A49" s="263">
        <f>+A44+1</f>
        <v>2</v>
      </c>
      <c r="B49" s="242" t="s">
        <v>498</v>
      </c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178"/>
      <c r="X49" s="325" t="s">
        <v>359</v>
      </c>
      <c r="Y49" s="326"/>
      <c r="Z49" s="326"/>
      <c r="AA49" s="326"/>
      <c r="AB49" s="327"/>
      <c r="AC49" s="189"/>
      <c r="AD49" s="190"/>
      <c r="AE49" s="190"/>
      <c r="AF49" s="190"/>
    </row>
    <row r="50" spans="1:32" s="179" customFormat="1" ht="54">
      <c r="A50" s="262">
        <f>+A49+0.1</f>
        <v>2.1</v>
      </c>
      <c r="B50" s="125" t="s">
        <v>492</v>
      </c>
      <c r="C50" s="128">
        <f>(6950+12)*1.1</f>
        <v>7658.2000000000007</v>
      </c>
      <c r="D50" s="126" t="s">
        <v>483</v>
      </c>
      <c r="E50" s="131">
        <v>200</v>
      </c>
      <c r="F50" s="131">
        <v>150</v>
      </c>
      <c r="G50" s="127">
        <f t="shared" ref="G50:G51" si="28">E50+F50</f>
        <v>350</v>
      </c>
      <c r="H50" s="127">
        <v>15</v>
      </c>
      <c r="I50" s="128">
        <v>10</v>
      </c>
      <c r="J50" s="127">
        <f t="shared" ref="J50:J51" si="29">H50+I50</f>
        <v>25</v>
      </c>
      <c r="K50" s="127">
        <f t="shared" ref="K50:K51" si="30">J50%*G50</f>
        <v>87.5</v>
      </c>
      <c r="L50" s="127">
        <f t="shared" ref="L50:L51" si="31">5%*((G50)+(K50))</f>
        <v>21.875</v>
      </c>
      <c r="M50" s="127">
        <f>K50+L50</f>
        <v>109.375</v>
      </c>
      <c r="N50" s="129">
        <f t="shared" ref="N50:N53" si="32">(+M50+G50)*C50</f>
        <v>3517985.6250000005</v>
      </c>
      <c r="O50" s="130">
        <f t="shared" ref="O50:O51" si="33">N50/C50</f>
        <v>459.375</v>
      </c>
      <c r="P50" s="166"/>
      <c r="Q50" s="179">
        <f t="shared" ref="Q50" si="34">E50*C50</f>
        <v>1531640.0000000002</v>
      </c>
      <c r="R50" s="179">
        <f t="shared" ref="R50:R53" si="35">F50*C50</f>
        <v>1148730</v>
      </c>
      <c r="S50" s="179">
        <f t="shared" ref="S50" si="36">G50*C50</f>
        <v>2680370.0000000005</v>
      </c>
      <c r="T50" s="179">
        <f t="shared" ref="T50" si="37">M50*C50</f>
        <v>837615.62500000012</v>
      </c>
      <c r="X50" s="292"/>
      <c r="Y50" s="293"/>
      <c r="Z50" s="293"/>
      <c r="AA50" s="293"/>
      <c r="AB50" s="294"/>
      <c r="AC50" s="189"/>
      <c r="AD50" s="190"/>
      <c r="AE50" s="190"/>
      <c r="AF50" s="190"/>
    </row>
    <row r="51" spans="1:32" s="179" customFormat="1" ht="36">
      <c r="A51" s="262">
        <f t="shared" ref="A51:A53" si="38">+A50+0.1</f>
        <v>2.2000000000000002</v>
      </c>
      <c r="B51" s="125" t="s">
        <v>505</v>
      </c>
      <c r="C51" s="128">
        <v>35</v>
      </c>
      <c r="D51" s="126" t="s">
        <v>483</v>
      </c>
      <c r="E51" s="131">
        <v>200</v>
      </c>
      <c r="F51" s="131">
        <v>150</v>
      </c>
      <c r="G51" s="127">
        <f t="shared" si="28"/>
        <v>350</v>
      </c>
      <c r="H51" s="127">
        <v>15</v>
      </c>
      <c r="I51" s="128">
        <v>10</v>
      </c>
      <c r="J51" s="127">
        <f t="shared" si="29"/>
        <v>25</v>
      </c>
      <c r="K51" s="127">
        <f t="shared" si="30"/>
        <v>87.5</v>
      </c>
      <c r="L51" s="127">
        <f t="shared" si="31"/>
        <v>21.875</v>
      </c>
      <c r="M51" s="127">
        <f t="shared" ref="M51" si="39">K51+L51</f>
        <v>109.375</v>
      </c>
      <c r="N51" s="129">
        <f t="shared" si="32"/>
        <v>16078.125</v>
      </c>
      <c r="O51" s="130">
        <f t="shared" si="33"/>
        <v>459.375</v>
      </c>
      <c r="P51" s="166"/>
      <c r="Q51" s="179">
        <f t="shared" ref="Q51" si="40">E51*C51</f>
        <v>7000</v>
      </c>
      <c r="R51" s="179">
        <f t="shared" si="35"/>
        <v>5250</v>
      </c>
      <c r="S51" s="179">
        <f t="shared" ref="S51" si="41">G51*C51</f>
        <v>12250</v>
      </c>
      <c r="T51" s="179">
        <f t="shared" ref="T51" si="42">M51*C51</f>
        <v>3828.125</v>
      </c>
      <c r="X51" s="292"/>
      <c r="Y51" s="293"/>
      <c r="Z51" s="293"/>
      <c r="AA51" s="293"/>
      <c r="AB51" s="294"/>
      <c r="AC51" s="189"/>
      <c r="AD51" s="190"/>
      <c r="AE51" s="190"/>
      <c r="AF51" s="190"/>
    </row>
    <row r="52" spans="1:32" s="167" customFormat="1" ht="54">
      <c r="A52" s="262">
        <f t="shared" si="38"/>
        <v>2.3000000000000003</v>
      </c>
      <c r="B52" s="125" t="s">
        <v>493</v>
      </c>
      <c r="C52" s="131">
        <v>1</v>
      </c>
      <c r="D52" s="126" t="s">
        <v>5</v>
      </c>
      <c r="E52" s="128">
        <v>25000</v>
      </c>
      <c r="F52" s="129">
        <v>40000</v>
      </c>
      <c r="G52" s="127">
        <f t="shared" ref="G52" si="43">E52+F52</f>
        <v>65000</v>
      </c>
      <c r="H52" s="127">
        <v>15</v>
      </c>
      <c r="I52" s="128">
        <v>10</v>
      </c>
      <c r="J52" s="127">
        <f t="shared" ref="J52" si="44">H52+I52</f>
        <v>25</v>
      </c>
      <c r="K52" s="127">
        <f t="shared" ref="K52" si="45">J52%*G52</f>
        <v>16250</v>
      </c>
      <c r="L52" s="127">
        <f t="shared" ref="L52" si="46">5%*((G52)+(K52))</f>
        <v>4062.5</v>
      </c>
      <c r="M52" s="127">
        <f t="shared" ref="M52" si="47">K52+L52</f>
        <v>20312.5</v>
      </c>
      <c r="N52" s="129">
        <f t="shared" si="32"/>
        <v>85312.5</v>
      </c>
      <c r="O52" s="130">
        <f t="shared" ref="O52" si="48">N52/C52</f>
        <v>85312.5</v>
      </c>
      <c r="P52" s="166"/>
      <c r="Q52" s="179">
        <f t="shared" si="14"/>
        <v>25000</v>
      </c>
      <c r="R52" s="179">
        <f t="shared" si="35"/>
        <v>40000</v>
      </c>
      <c r="S52" s="179">
        <f t="shared" si="16"/>
        <v>65000</v>
      </c>
      <c r="T52" s="179">
        <f t="shared" si="17"/>
        <v>20312.5</v>
      </c>
      <c r="X52" s="193"/>
      <c r="Y52" s="194"/>
      <c r="Z52" s="194"/>
      <c r="AA52" s="194"/>
      <c r="AB52" s="194"/>
      <c r="AC52" s="194"/>
      <c r="AD52" s="190"/>
      <c r="AE52" s="195"/>
      <c r="AF52" s="195"/>
    </row>
    <row r="53" spans="1:32" s="167" customFormat="1" ht="36">
      <c r="A53" s="262">
        <f t="shared" si="38"/>
        <v>2.4000000000000004</v>
      </c>
      <c r="B53" s="125" t="s">
        <v>506</v>
      </c>
      <c r="C53" s="131">
        <v>1</v>
      </c>
      <c r="D53" s="126" t="s">
        <v>5</v>
      </c>
      <c r="E53" s="128">
        <v>20000</v>
      </c>
      <c r="F53" s="129">
        <v>30000</v>
      </c>
      <c r="G53" s="127">
        <f t="shared" ref="G53" si="49">E53+F53</f>
        <v>50000</v>
      </c>
      <c r="H53" s="127">
        <v>15</v>
      </c>
      <c r="I53" s="128">
        <v>10</v>
      </c>
      <c r="J53" s="127">
        <f t="shared" ref="J53" si="50">H53+I53</f>
        <v>25</v>
      </c>
      <c r="K53" s="127">
        <f t="shared" ref="K53" si="51">J53%*G53</f>
        <v>12500</v>
      </c>
      <c r="L53" s="127">
        <f t="shared" ref="L53" si="52">5%*((G53)+(K53))</f>
        <v>3125</v>
      </c>
      <c r="M53" s="127">
        <f t="shared" ref="M53" si="53">K53+L53</f>
        <v>15625</v>
      </c>
      <c r="N53" s="129">
        <f t="shared" si="32"/>
        <v>65625</v>
      </c>
      <c r="O53" s="130">
        <f t="shared" ref="O53" si="54">N53/C53</f>
        <v>65625</v>
      </c>
      <c r="P53" s="166"/>
      <c r="Q53" s="179">
        <f t="shared" si="14"/>
        <v>20000</v>
      </c>
      <c r="R53" s="179">
        <f t="shared" si="35"/>
        <v>30000</v>
      </c>
      <c r="S53" s="179">
        <f t="shared" si="16"/>
        <v>50000</v>
      </c>
      <c r="T53" s="179">
        <f t="shared" si="17"/>
        <v>15625</v>
      </c>
      <c r="X53" s="193"/>
      <c r="Y53" s="194"/>
      <c r="Z53" s="194"/>
      <c r="AA53" s="194"/>
      <c r="AB53" s="194"/>
      <c r="AC53" s="194"/>
      <c r="AD53" s="190"/>
      <c r="AE53" s="195"/>
      <c r="AF53" s="195"/>
    </row>
    <row r="54" spans="1:32" s="179" customFormat="1">
      <c r="A54" s="265"/>
      <c r="B54" s="197"/>
      <c r="C54" s="181"/>
      <c r="D54" s="181"/>
      <c r="E54" s="181"/>
      <c r="F54" s="181"/>
      <c r="G54" s="186"/>
      <c r="H54" s="186"/>
      <c r="I54" s="186"/>
      <c r="J54" s="186"/>
      <c r="K54" s="186"/>
      <c r="L54" s="186"/>
      <c r="M54" s="224" t="s">
        <v>343</v>
      </c>
      <c r="N54" s="240">
        <f>SUM(N50:N53)</f>
        <v>3685001.2500000005</v>
      </c>
      <c r="O54" s="198"/>
      <c r="P54" s="182">
        <f>N54</f>
        <v>3685001.2500000005</v>
      </c>
      <c r="X54" s="193">
        <f>2.53*2.25</f>
        <v>5.6924999999999999</v>
      </c>
      <c r="Y54" s="193">
        <v>61.25</v>
      </c>
      <c r="Z54" s="194">
        <f t="shared" ref="Z54" si="55">Y54*300</f>
        <v>18375</v>
      </c>
      <c r="AA54" s="194">
        <f t="shared" ref="AA54" si="56">Y54*320</f>
        <v>19600</v>
      </c>
      <c r="AB54" s="194">
        <f t="shared" ref="AB54" si="57">Y54*340</f>
        <v>20825</v>
      </c>
      <c r="AC54" s="194">
        <f t="shared" ref="AC54" si="58">Y54*440</f>
        <v>26950</v>
      </c>
      <c r="AD54" s="190"/>
      <c r="AE54" s="195">
        <f t="shared" ref="AE54" si="59">AC54-AF54</f>
        <v>20212.5</v>
      </c>
      <c r="AF54" s="195">
        <f t="shared" ref="AF54" si="60">AC54*0.25</f>
        <v>6737.5</v>
      </c>
    </row>
    <row r="55" spans="1:32" s="179" customFormat="1">
      <c r="A55" s="263">
        <f>+A49+1</f>
        <v>3</v>
      </c>
      <c r="B55" s="242" t="s">
        <v>490</v>
      </c>
      <c r="C55" s="171"/>
      <c r="D55" s="172"/>
      <c r="E55" s="171"/>
      <c r="F55" s="171"/>
      <c r="G55" s="173"/>
      <c r="H55" s="174"/>
      <c r="I55" s="174"/>
      <c r="J55" s="175"/>
      <c r="K55" s="175"/>
      <c r="L55" s="175"/>
      <c r="M55" s="174"/>
      <c r="N55" s="176"/>
      <c r="O55" s="177"/>
      <c r="P55" s="182"/>
      <c r="X55" s="199"/>
      <c r="Y55" s="199"/>
      <c r="Z55" s="200"/>
      <c r="AA55" s="200"/>
      <c r="AB55" s="200"/>
      <c r="AC55" s="200"/>
      <c r="AD55" s="190"/>
      <c r="AE55" s="195"/>
      <c r="AF55" s="195"/>
    </row>
    <row r="56" spans="1:32" s="179" customFormat="1" ht="21" customHeight="1">
      <c r="A56" s="262">
        <f>+A55+0.1</f>
        <v>3.1</v>
      </c>
      <c r="B56" s="241" t="s">
        <v>495</v>
      </c>
      <c r="C56" s="128">
        <f>73.98*1.1</f>
        <v>81.378000000000014</v>
      </c>
      <c r="D56" s="126" t="s">
        <v>483</v>
      </c>
      <c r="E56" s="131">
        <v>4000</v>
      </c>
      <c r="F56" s="128">
        <f>E56*0.3</f>
        <v>1200</v>
      </c>
      <c r="G56" s="128">
        <f>E56+F56</f>
        <v>5200</v>
      </c>
      <c r="H56" s="128">
        <v>15</v>
      </c>
      <c r="I56" s="128">
        <v>10</v>
      </c>
      <c r="J56" s="128">
        <f t="shared" ref="J56" si="61">H56+I56</f>
        <v>25</v>
      </c>
      <c r="K56" s="128">
        <f t="shared" ref="K56" si="62">J56%*G56</f>
        <v>1300</v>
      </c>
      <c r="L56" s="128">
        <f t="shared" ref="L56" si="63">5%*((G56)+(K56))</f>
        <v>325</v>
      </c>
      <c r="M56" s="128">
        <f t="shared" ref="M56" si="64">K56+L56</f>
        <v>1625</v>
      </c>
      <c r="N56" s="128">
        <f t="shared" ref="N56" si="65">(+M56+G56)*C56</f>
        <v>555404.85000000009</v>
      </c>
      <c r="O56" s="128">
        <f t="shared" ref="O56" si="66">N56/C56</f>
        <v>6825</v>
      </c>
      <c r="P56" s="166"/>
      <c r="Q56" s="179">
        <f t="shared" ref="Q56" si="67">E56*C56</f>
        <v>325512.00000000006</v>
      </c>
      <c r="R56" s="179">
        <f t="shared" ref="R56" si="68">F56*C56</f>
        <v>97653.60000000002</v>
      </c>
      <c r="S56" s="179">
        <f t="shared" ref="S56" si="69">G56*C56</f>
        <v>423165.60000000009</v>
      </c>
      <c r="T56" s="179">
        <f t="shared" ref="T56" si="70">M56*C56</f>
        <v>132239.25000000003</v>
      </c>
      <c r="X56" s="199"/>
      <c r="Y56" s="199"/>
      <c r="Z56" s="200"/>
      <c r="AA56" s="200"/>
      <c r="AB56" s="200"/>
      <c r="AC56" s="200"/>
      <c r="AD56" s="190"/>
      <c r="AE56" s="195"/>
      <c r="AF56" s="195"/>
    </row>
    <row r="57" spans="1:32" s="179" customFormat="1" ht="23.25">
      <c r="A57" s="262">
        <f>+A56+0.1</f>
        <v>3.2</v>
      </c>
      <c r="B57" s="125" t="s">
        <v>488</v>
      </c>
      <c r="C57" s="131" t="e">
        <f>#REF!</f>
        <v>#REF!</v>
      </c>
      <c r="D57" s="126" t="s">
        <v>483</v>
      </c>
      <c r="E57" s="128">
        <v>400</v>
      </c>
      <c r="F57" s="128">
        <f>E57*0.3</f>
        <v>120</v>
      </c>
      <c r="G57" s="127">
        <f t="shared" ref="G57" si="71">E57+F57</f>
        <v>520</v>
      </c>
      <c r="H57" s="127">
        <v>15</v>
      </c>
      <c r="I57" s="128">
        <v>10</v>
      </c>
      <c r="J57" s="127">
        <f t="shared" ref="J57" si="72">H57+I57</f>
        <v>25</v>
      </c>
      <c r="K57" s="127">
        <f t="shared" ref="K57" si="73">J57%*G57</f>
        <v>130</v>
      </c>
      <c r="L57" s="127">
        <f t="shared" ref="L57" si="74">5%*((G57)+(K57))</f>
        <v>32.5</v>
      </c>
      <c r="M57" s="127">
        <f t="shared" ref="M57" si="75">K57+L57</f>
        <v>162.5</v>
      </c>
      <c r="N57" s="129" t="e">
        <f t="shared" ref="N57" si="76">(+M57+G57)*C57</f>
        <v>#REF!</v>
      </c>
      <c r="O57" s="130" t="e">
        <f t="shared" ref="O57" si="77">N57/C57</f>
        <v>#REF!</v>
      </c>
      <c r="P57" s="166"/>
      <c r="Q57" s="179" t="e">
        <f t="shared" ref="Q57" si="78">E57*C57</f>
        <v>#REF!</v>
      </c>
      <c r="R57" s="179" t="e">
        <f t="shared" ref="R57" si="79">F57*C57</f>
        <v>#REF!</v>
      </c>
      <c r="S57" s="179" t="e">
        <f t="shared" ref="S57" si="80">G57*C57</f>
        <v>#REF!</v>
      </c>
      <c r="T57" s="179" t="e">
        <f t="shared" ref="T57" si="81">M57*C57</f>
        <v>#REF!</v>
      </c>
      <c r="X57" s="199"/>
      <c r="Y57" s="199"/>
      <c r="Z57" s="200"/>
      <c r="AA57" s="200"/>
      <c r="AB57" s="200"/>
      <c r="AC57" s="200"/>
      <c r="AD57" s="190"/>
      <c r="AE57" s="195"/>
      <c r="AF57" s="195"/>
    </row>
    <row r="58" spans="1:32" s="179" customFormat="1" ht="23.25">
      <c r="A58" s="262">
        <f t="shared" ref="A58:A59" si="82">+A57+0.1</f>
        <v>3.3000000000000003</v>
      </c>
      <c r="B58" s="241" t="s">
        <v>484</v>
      </c>
      <c r="C58" s="131" t="e">
        <f>#REF!</f>
        <v>#REF!</v>
      </c>
      <c r="D58" s="126" t="s">
        <v>98</v>
      </c>
      <c r="E58" s="128">
        <v>400</v>
      </c>
      <c r="F58" s="128">
        <f>E58*0.3</f>
        <v>120</v>
      </c>
      <c r="G58" s="128">
        <f t="shared" ref="G58" si="83">E58+F58</f>
        <v>520</v>
      </c>
      <c r="H58" s="128">
        <v>15</v>
      </c>
      <c r="I58" s="128">
        <v>10</v>
      </c>
      <c r="J58" s="128">
        <f t="shared" ref="J58" si="84">H58+I58</f>
        <v>25</v>
      </c>
      <c r="K58" s="128">
        <f t="shared" ref="K58" si="85">J58%*G58</f>
        <v>130</v>
      </c>
      <c r="L58" s="128">
        <f t="shared" ref="L58" si="86">5%*((G58)+(K58))</f>
        <v>32.5</v>
      </c>
      <c r="M58" s="128">
        <f t="shared" ref="M58" si="87">K58+L58</f>
        <v>162.5</v>
      </c>
      <c r="N58" s="128" t="e">
        <f t="shared" ref="N58" si="88">(+M58+G58)*C58</f>
        <v>#REF!</v>
      </c>
      <c r="O58" s="128" t="e">
        <f t="shared" ref="O58" si="89">N58/C58</f>
        <v>#REF!</v>
      </c>
      <c r="P58" s="166"/>
      <c r="Q58" s="179" t="e">
        <f t="shared" ref="Q58" si="90">E58*C58</f>
        <v>#REF!</v>
      </c>
      <c r="R58" s="179" t="e">
        <f t="shared" ref="R58" si="91">F58*C58</f>
        <v>#REF!</v>
      </c>
      <c r="S58" s="179" t="e">
        <f t="shared" ref="S58" si="92">G58*C58</f>
        <v>#REF!</v>
      </c>
      <c r="T58" s="179" t="e">
        <f t="shared" ref="T58" si="93">M58*C58</f>
        <v>#REF!</v>
      </c>
      <c r="X58" s="199"/>
      <c r="Y58" s="199"/>
      <c r="Z58" s="200"/>
      <c r="AA58" s="200"/>
      <c r="AB58" s="200"/>
      <c r="AC58" s="200"/>
      <c r="AD58" s="190"/>
      <c r="AE58" s="195"/>
      <c r="AF58" s="195"/>
    </row>
    <row r="59" spans="1:32" s="179" customFormat="1" ht="23.25">
      <c r="A59" s="262">
        <f t="shared" si="82"/>
        <v>3.4000000000000004</v>
      </c>
      <c r="B59" s="241" t="s">
        <v>489</v>
      </c>
      <c r="C59" s="131" t="e">
        <f>#REF!</f>
        <v>#REF!</v>
      </c>
      <c r="D59" s="126" t="s">
        <v>98</v>
      </c>
      <c r="E59" s="128">
        <v>400</v>
      </c>
      <c r="F59" s="128">
        <f>E59*0.3</f>
        <v>120</v>
      </c>
      <c r="G59" s="128">
        <f t="shared" ref="G59" si="94">E59+F59</f>
        <v>520</v>
      </c>
      <c r="H59" s="128">
        <v>15</v>
      </c>
      <c r="I59" s="128">
        <v>10</v>
      </c>
      <c r="J59" s="128">
        <f t="shared" ref="J59" si="95">H59+I59</f>
        <v>25</v>
      </c>
      <c r="K59" s="128">
        <f t="shared" ref="K59" si="96">J59%*G59</f>
        <v>130</v>
      </c>
      <c r="L59" s="128">
        <f t="shared" ref="L59" si="97">5%*((G59)+(K59))</f>
        <v>32.5</v>
      </c>
      <c r="M59" s="128">
        <f t="shared" ref="M59" si="98">K59+L59</f>
        <v>162.5</v>
      </c>
      <c r="N59" s="128" t="e">
        <f t="shared" ref="N59" si="99">(+M59+G59)*C59</f>
        <v>#REF!</v>
      </c>
      <c r="O59" s="128" t="e">
        <f t="shared" ref="O59" si="100">N59/C59</f>
        <v>#REF!</v>
      </c>
      <c r="P59" s="166"/>
      <c r="Q59" s="179" t="e">
        <f t="shared" ref="Q59" si="101">E59*C59</f>
        <v>#REF!</v>
      </c>
      <c r="R59" s="179" t="e">
        <f t="shared" ref="R59" si="102">F59*C59</f>
        <v>#REF!</v>
      </c>
      <c r="S59" s="179" t="e">
        <f t="shared" ref="S59" si="103">G59*C59</f>
        <v>#REF!</v>
      </c>
      <c r="T59" s="179" t="e">
        <f t="shared" ref="T59" si="104">M59*C59</f>
        <v>#REF!</v>
      </c>
      <c r="X59" s="199"/>
      <c r="Y59" s="199"/>
      <c r="Z59" s="200"/>
      <c r="AA59" s="200"/>
      <c r="AB59" s="200"/>
      <c r="AC59" s="200"/>
      <c r="AD59" s="190"/>
      <c r="AE59" s="195"/>
      <c r="AF59" s="195"/>
    </row>
    <row r="60" spans="1:32" s="179" customFormat="1">
      <c r="A60" s="265"/>
      <c r="B60" s="197"/>
      <c r="C60" s="181"/>
      <c r="D60" s="181"/>
      <c r="E60" s="181"/>
      <c r="F60" s="181"/>
      <c r="G60" s="186"/>
      <c r="H60" s="186"/>
      <c r="I60" s="186"/>
      <c r="J60" s="186"/>
      <c r="K60" s="186"/>
      <c r="L60" s="186"/>
      <c r="M60" s="224" t="s">
        <v>343</v>
      </c>
      <c r="N60" s="240" t="e">
        <f>SUM(N56:N59)</f>
        <v>#REF!</v>
      </c>
      <c r="O60" s="198"/>
      <c r="P60" s="182" t="e">
        <f>N60</f>
        <v>#REF!</v>
      </c>
      <c r="X60" s="199"/>
      <c r="Y60" s="199"/>
      <c r="Z60" s="200"/>
      <c r="AA60" s="200"/>
      <c r="AB60" s="200"/>
      <c r="AC60" s="200"/>
      <c r="AD60" s="190"/>
      <c r="AE60" s="195"/>
      <c r="AF60" s="195"/>
    </row>
    <row r="61" spans="1:32" s="179" customFormat="1">
      <c r="A61" s="263">
        <f>+A55+1</f>
        <v>4</v>
      </c>
      <c r="B61" s="242" t="s">
        <v>478</v>
      </c>
      <c r="C61" s="171"/>
      <c r="D61" s="172"/>
      <c r="E61" s="171"/>
      <c r="F61" s="171"/>
      <c r="G61" s="173"/>
      <c r="H61" s="174"/>
      <c r="I61" s="174"/>
      <c r="J61" s="175"/>
      <c r="K61" s="175"/>
      <c r="L61" s="175"/>
      <c r="M61" s="174"/>
      <c r="N61" s="176"/>
      <c r="O61" s="177"/>
      <c r="P61" s="182"/>
      <c r="X61" s="199"/>
      <c r="Y61" s="199"/>
      <c r="Z61" s="200"/>
      <c r="AA61" s="200"/>
      <c r="AB61" s="200"/>
      <c r="AC61" s="200"/>
      <c r="AD61" s="190"/>
      <c r="AE61" s="195"/>
      <c r="AF61" s="195"/>
    </row>
    <row r="62" spans="1:32" s="179" customFormat="1" ht="23.25">
      <c r="A62" s="262">
        <f>+A61+0.1</f>
        <v>4.0999999999999996</v>
      </c>
      <c r="B62" s="125" t="s">
        <v>507</v>
      </c>
      <c r="C62" s="131">
        <f>(35+(15.11+3.6+23.04))*1.1</f>
        <v>84.425000000000011</v>
      </c>
      <c r="D62" s="126" t="s">
        <v>483</v>
      </c>
      <c r="E62" s="129">
        <v>600</v>
      </c>
      <c r="F62" s="129">
        <f>E62*0.3</f>
        <v>180</v>
      </c>
      <c r="G62" s="127">
        <f t="shared" ref="G62" si="105">E62+F62</f>
        <v>780</v>
      </c>
      <c r="H62" s="127">
        <v>15</v>
      </c>
      <c r="I62" s="128">
        <v>10</v>
      </c>
      <c r="J62" s="127">
        <f t="shared" ref="J62" si="106">H62+I62</f>
        <v>25</v>
      </c>
      <c r="K62" s="127">
        <f t="shared" ref="K62" si="107">J62%*G62</f>
        <v>195</v>
      </c>
      <c r="L62" s="127">
        <f t="shared" ref="L62" si="108">5%*((G62)+(K62))</f>
        <v>48.75</v>
      </c>
      <c r="M62" s="127">
        <f t="shared" ref="M62" si="109">K62+L62</f>
        <v>243.75</v>
      </c>
      <c r="N62" s="129">
        <f t="shared" ref="N62" si="110">ROUNDUP((+M62+G62)*C62,2)</f>
        <v>86430.099999999991</v>
      </c>
      <c r="O62" s="130">
        <f t="shared" ref="O62" si="111">N62/C62</f>
        <v>1023.7500740302041</v>
      </c>
      <c r="P62" s="166"/>
      <c r="Q62" s="179">
        <f>E62*C62</f>
        <v>50655.000000000007</v>
      </c>
      <c r="R62" s="179">
        <f>F62*C62</f>
        <v>15196.500000000002</v>
      </c>
      <c r="S62" s="179">
        <f>G62*C62</f>
        <v>65851.500000000015</v>
      </c>
      <c r="T62" s="179">
        <f t="shared" ref="T62" si="112">M62*C62</f>
        <v>20578.593750000004</v>
      </c>
      <c r="X62" s="292"/>
      <c r="Y62" s="293"/>
      <c r="Z62" s="293"/>
      <c r="AA62" s="293"/>
      <c r="AB62" s="294"/>
      <c r="AC62" s="189"/>
      <c r="AD62" s="190"/>
      <c r="AE62" s="190"/>
      <c r="AF62" s="190"/>
    </row>
    <row r="63" spans="1:32" s="179" customFormat="1" ht="36">
      <c r="A63" s="262">
        <f>A62+0.1</f>
        <v>4.1999999999999993</v>
      </c>
      <c r="B63" s="241" t="s">
        <v>485</v>
      </c>
      <c r="C63" s="131">
        <v>1</v>
      </c>
      <c r="D63" s="124" t="s">
        <v>1</v>
      </c>
      <c r="E63" s="129">
        <v>35500</v>
      </c>
      <c r="F63" s="128">
        <f>E63*0.3</f>
        <v>10650</v>
      </c>
      <c r="G63" s="127">
        <f t="shared" ref="G63:G65" si="113">E63+F63</f>
        <v>46150</v>
      </c>
      <c r="H63" s="127">
        <v>15</v>
      </c>
      <c r="I63" s="128">
        <v>10</v>
      </c>
      <c r="J63" s="127">
        <f t="shared" ref="J63:J65" si="114">H63+I63</f>
        <v>25</v>
      </c>
      <c r="K63" s="127">
        <f t="shared" ref="K63:K65" si="115">J63%*G63</f>
        <v>11537.5</v>
      </c>
      <c r="L63" s="127">
        <f t="shared" ref="L63:L65" si="116">5%*((G63)+(K63))</f>
        <v>2884.375</v>
      </c>
      <c r="M63" s="127">
        <f t="shared" ref="M63:M65" si="117">K63+L63</f>
        <v>14421.875</v>
      </c>
      <c r="N63" s="129">
        <f t="shared" ref="N63:N65" si="118">(+M63+G63)*C63</f>
        <v>60571.875</v>
      </c>
      <c r="O63" s="130">
        <f t="shared" ref="O63:O65" si="119">N63/C63</f>
        <v>60571.875</v>
      </c>
      <c r="P63" s="182"/>
      <c r="Q63" s="179">
        <f t="shared" si="14"/>
        <v>35500</v>
      </c>
      <c r="R63" s="179">
        <f t="shared" ref="R63:R67" si="120">F63*C63</f>
        <v>10650</v>
      </c>
      <c r="S63" s="179">
        <f t="shared" si="16"/>
        <v>46150</v>
      </c>
      <c r="T63" s="179">
        <f t="shared" ref="T63:T65" si="121">M63*C63</f>
        <v>14421.875</v>
      </c>
      <c r="X63" s="199"/>
      <c r="Y63" s="199"/>
      <c r="Z63" s="200"/>
      <c r="AA63" s="200"/>
      <c r="AB63" s="200"/>
      <c r="AC63" s="200"/>
      <c r="AD63" s="190"/>
      <c r="AE63" s="195"/>
      <c r="AF63" s="195"/>
    </row>
    <row r="64" spans="1:32" s="179" customFormat="1" ht="36">
      <c r="A64" s="262">
        <f t="shared" ref="A64:A65" si="122">+A63+0.1</f>
        <v>4.2999999999999989</v>
      </c>
      <c r="B64" s="241" t="s">
        <v>486</v>
      </c>
      <c r="C64" s="131">
        <v>3</v>
      </c>
      <c r="D64" s="124" t="s">
        <v>1</v>
      </c>
      <c r="E64" s="129">
        <v>7200</v>
      </c>
      <c r="F64" s="128">
        <f>E64*0.3</f>
        <v>2160</v>
      </c>
      <c r="G64" s="127">
        <f t="shared" si="113"/>
        <v>9360</v>
      </c>
      <c r="H64" s="127">
        <v>15</v>
      </c>
      <c r="I64" s="128">
        <v>10</v>
      </c>
      <c r="J64" s="127">
        <f t="shared" si="114"/>
        <v>25</v>
      </c>
      <c r="K64" s="127">
        <f t="shared" si="115"/>
        <v>2340</v>
      </c>
      <c r="L64" s="127">
        <f t="shared" si="116"/>
        <v>585</v>
      </c>
      <c r="M64" s="127">
        <f t="shared" si="117"/>
        <v>2925</v>
      </c>
      <c r="N64" s="129">
        <f t="shared" si="118"/>
        <v>36855</v>
      </c>
      <c r="O64" s="130">
        <f t="shared" si="119"/>
        <v>12285</v>
      </c>
      <c r="P64" s="182"/>
      <c r="Q64" s="179">
        <f t="shared" si="14"/>
        <v>21600</v>
      </c>
      <c r="R64" s="179">
        <f t="shared" si="120"/>
        <v>6480</v>
      </c>
      <c r="S64" s="179">
        <f t="shared" si="16"/>
        <v>28080</v>
      </c>
      <c r="T64" s="179">
        <f t="shared" si="121"/>
        <v>8775</v>
      </c>
      <c r="X64" s="199"/>
      <c r="Y64" s="199"/>
      <c r="Z64" s="200"/>
      <c r="AA64" s="200"/>
      <c r="AB64" s="200"/>
      <c r="AC64" s="200"/>
      <c r="AD64" s="190"/>
      <c r="AE64" s="195"/>
      <c r="AF64" s="195"/>
    </row>
    <row r="65" spans="1:32" s="179" customFormat="1" ht="36">
      <c r="A65" s="262">
        <f t="shared" si="122"/>
        <v>4.3999999999999986</v>
      </c>
      <c r="B65" s="241" t="s">
        <v>487</v>
      </c>
      <c r="C65" s="131">
        <v>1</v>
      </c>
      <c r="D65" s="124" t="s">
        <v>1</v>
      </c>
      <c r="E65" s="129">
        <v>2600</v>
      </c>
      <c r="F65" s="128">
        <f>E65*0.3</f>
        <v>780</v>
      </c>
      <c r="G65" s="127">
        <f t="shared" si="113"/>
        <v>3380</v>
      </c>
      <c r="H65" s="127">
        <v>15</v>
      </c>
      <c r="I65" s="128">
        <v>10</v>
      </c>
      <c r="J65" s="127">
        <f t="shared" si="114"/>
        <v>25</v>
      </c>
      <c r="K65" s="127">
        <f t="shared" si="115"/>
        <v>845</v>
      </c>
      <c r="L65" s="127">
        <f t="shared" si="116"/>
        <v>211.25</v>
      </c>
      <c r="M65" s="127">
        <f t="shared" si="117"/>
        <v>1056.25</v>
      </c>
      <c r="N65" s="129">
        <f t="shared" si="118"/>
        <v>4436.25</v>
      </c>
      <c r="O65" s="130">
        <f t="shared" si="119"/>
        <v>4436.25</v>
      </c>
      <c r="P65" s="182"/>
      <c r="Q65" s="179">
        <f t="shared" si="14"/>
        <v>2600</v>
      </c>
      <c r="R65" s="179">
        <f t="shared" si="120"/>
        <v>780</v>
      </c>
      <c r="S65" s="179">
        <f t="shared" si="16"/>
        <v>3380</v>
      </c>
      <c r="T65" s="179">
        <f t="shared" si="121"/>
        <v>1056.25</v>
      </c>
      <c r="X65" s="199"/>
      <c r="Y65" s="199"/>
      <c r="Z65" s="200"/>
      <c r="AA65" s="200"/>
      <c r="AB65" s="200"/>
      <c r="AC65" s="200"/>
      <c r="AD65" s="190"/>
      <c r="AE65" s="195"/>
      <c r="AF65" s="195"/>
    </row>
    <row r="66" spans="1:32" s="179" customFormat="1">
      <c r="A66" s="262">
        <f>+A65+0.1</f>
        <v>4.4999999999999982</v>
      </c>
      <c r="B66" s="241" t="s">
        <v>482</v>
      </c>
      <c r="C66" s="131">
        <v>1</v>
      </c>
      <c r="D66" s="124" t="s">
        <v>5</v>
      </c>
      <c r="E66" s="129">
        <v>20000</v>
      </c>
      <c r="F66" s="128">
        <f>0.3*E66</f>
        <v>6000</v>
      </c>
      <c r="G66" s="127">
        <f>E66+F66</f>
        <v>26000</v>
      </c>
      <c r="H66" s="127">
        <v>15</v>
      </c>
      <c r="I66" s="128">
        <v>10</v>
      </c>
      <c r="J66" s="127">
        <f>H66+I66</f>
        <v>25</v>
      </c>
      <c r="K66" s="127">
        <f>J66%*G66</f>
        <v>6500</v>
      </c>
      <c r="L66" s="127">
        <f>5%*((G66)+(K66))</f>
        <v>1625</v>
      </c>
      <c r="M66" s="127">
        <f>K66+L66</f>
        <v>8125</v>
      </c>
      <c r="N66" s="129">
        <f>(+M66+G66)*C66</f>
        <v>34125</v>
      </c>
      <c r="O66" s="130">
        <f>N66/C66</f>
        <v>34125</v>
      </c>
      <c r="P66" s="182"/>
      <c r="Q66" s="179">
        <f>E66*C66</f>
        <v>20000</v>
      </c>
      <c r="R66" s="179">
        <f>F66*C66</f>
        <v>6000</v>
      </c>
      <c r="S66" s="179">
        <f>G66*C66</f>
        <v>26000</v>
      </c>
      <c r="T66" s="179">
        <f>M66*C66</f>
        <v>8125</v>
      </c>
      <c r="X66" s="199"/>
      <c r="Y66" s="199"/>
      <c r="Z66" s="200"/>
      <c r="AA66" s="200"/>
      <c r="AB66" s="200"/>
      <c r="AC66" s="200"/>
      <c r="AD66" s="190"/>
      <c r="AE66" s="195"/>
      <c r="AF66" s="195"/>
    </row>
    <row r="67" spans="1:32" s="179" customFormat="1" ht="21" customHeight="1">
      <c r="A67" s="262">
        <f>A66+0.1</f>
        <v>4.5999999999999979</v>
      </c>
      <c r="B67" s="241" t="s">
        <v>508</v>
      </c>
      <c r="C67" s="131">
        <v>1</v>
      </c>
      <c r="D67" s="126" t="s">
        <v>5</v>
      </c>
      <c r="E67" s="128">
        <v>24000</v>
      </c>
      <c r="F67" s="128">
        <f>0.3*E67</f>
        <v>7200</v>
      </c>
      <c r="G67" s="127">
        <f t="shared" ref="G67" si="123">E67+F67</f>
        <v>31200</v>
      </c>
      <c r="H67" s="127">
        <v>15</v>
      </c>
      <c r="I67" s="128">
        <v>10</v>
      </c>
      <c r="J67" s="127">
        <f t="shared" ref="J67" si="124">H67+I67</f>
        <v>25</v>
      </c>
      <c r="K67" s="127">
        <f t="shared" ref="K67" si="125">J67%*G67</f>
        <v>7800</v>
      </c>
      <c r="L67" s="127">
        <f t="shared" ref="L67" si="126">5%*((G67)+(K67))</f>
        <v>1950</v>
      </c>
      <c r="M67" s="127">
        <f t="shared" ref="M67" si="127">K67+L67</f>
        <v>9750</v>
      </c>
      <c r="N67" s="129">
        <f t="shared" ref="N67" si="128">(+M67+G67)*C67</f>
        <v>40950</v>
      </c>
      <c r="O67" s="130">
        <f t="shared" ref="O67" si="129">N67/C67</f>
        <v>40950</v>
      </c>
      <c r="P67" s="182"/>
      <c r="Q67" s="179">
        <f t="shared" si="14"/>
        <v>24000</v>
      </c>
      <c r="R67" s="179">
        <f t="shared" si="120"/>
        <v>7200</v>
      </c>
      <c r="S67" s="179">
        <f t="shared" si="16"/>
        <v>31200</v>
      </c>
      <c r="T67" s="179">
        <f t="shared" si="17"/>
        <v>9750</v>
      </c>
      <c r="X67" s="199"/>
      <c r="Y67" s="199"/>
      <c r="Z67" s="200"/>
      <c r="AA67" s="200"/>
      <c r="AB67" s="200"/>
      <c r="AC67" s="200"/>
      <c r="AD67" s="190"/>
      <c r="AE67" s="195"/>
      <c r="AF67" s="195"/>
    </row>
    <row r="68" spans="1:32" s="179" customFormat="1">
      <c r="A68" s="196"/>
      <c r="B68" s="197"/>
      <c r="C68" s="181"/>
      <c r="D68" s="181"/>
      <c r="E68" s="181"/>
      <c r="F68" s="181"/>
      <c r="G68" s="186"/>
      <c r="H68" s="186"/>
      <c r="I68" s="186"/>
      <c r="J68" s="186"/>
      <c r="K68" s="186"/>
      <c r="L68" s="186"/>
      <c r="M68" s="224" t="s">
        <v>343</v>
      </c>
      <c r="N68" s="240">
        <f>SUM(N62:N67)</f>
        <v>263368.22499999998</v>
      </c>
      <c r="O68" s="198"/>
      <c r="P68" s="182">
        <f>N68</f>
        <v>263368.22499999998</v>
      </c>
      <c r="X68" s="199"/>
      <c r="Y68" s="199"/>
      <c r="Z68" s="200"/>
      <c r="AA68" s="200"/>
      <c r="AB68" s="200"/>
      <c r="AC68" s="200"/>
      <c r="AD68" s="190"/>
      <c r="AE68" s="195"/>
      <c r="AF68" s="195"/>
    </row>
    <row r="69" spans="1:32">
      <c r="A69" s="318" t="s">
        <v>233</v>
      </c>
      <c r="B69" s="319"/>
      <c r="C69" s="320" t="e">
        <f>P69</f>
        <v>#REF!</v>
      </c>
      <c r="D69" s="320"/>
      <c r="E69" s="320"/>
      <c r="F69" s="320"/>
      <c r="G69" s="320"/>
      <c r="H69" s="320"/>
      <c r="I69" s="320"/>
      <c r="J69" s="320"/>
      <c r="K69" s="320"/>
      <c r="L69" s="320"/>
      <c r="M69" s="320"/>
      <c r="N69" s="320"/>
      <c r="O69" s="201"/>
      <c r="P69" s="290" t="e">
        <f>SUM(P45:P68)</f>
        <v>#REF!</v>
      </c>
      <c r="Q69" s="290" t="e">
        <f>SUM(Q45:Q68)</f>
        <v>#REF!</v>
      </c>
      <c r="R69" s="290" t="e">
        <f>SUM(R45:R68)</f>
        <v>#REF!</v>
      </c>
      <c r="S69" s="290" t="e">
        <f>SUM(S45:S68)</f>
        <v>#REF!</v>
      </c>
      <c r="T69" s="290" t="e">
        <f>SUM(T45:T68)</f>
        <v>#REF!</v>
      </c>
    </row>
    <row r="70" spans="1:32" ht="23.25" thickBot="1">
      <c r="A70" s="310" t="s">
        <v>234</v>
      </c>
      <c r="B70" s="311"/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202"/>
      <c r="R70" s="158" t="e">
        <f>R69/Q69</f>
        <v>#REF!</v>
      </c>
      <c r="V70" s="158" t="e">
        <f>T69/S69</f>
        <v>#REF!</v>
      </c>
    </row>
    <row r="71" spans="1:32">
      <c r="A71" s="203"/>
      <c r="B71" s="204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>
        <v>5286245.298750001</v>
      </c>
      <c r="O71" s="206"/>
      <c r="R71" s="158" t="e">
        <f>R69/N71</f>
        <v>#REF!</v>
      </c>
    </row>
    <row r="72" spans="1:32">
      <c r="A72" s="288"/>
      <c r="B72" s="289"/>
      <c r="C72" s="207"/>
      <c r="D72" s="207"/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8"/>
      <c r="T72" s="158" t="e">
        <f>T69/S69</f>
        <v>#REF!</v>
      </c>
    </row>
    <row r="73" spans="1:32">
      <c r="A73" s="287" t="s">
        <v>207</v>
      </c>
      <c r="B73" s="237"/>
      <c r="D73" s="238"/>
      <c r="E73" s="238"/>
      <c r="F73" s="207"/>
      <c r="G73" s="207"/>
      <c r="H73" s="207"/>
      <c r="I73" s="207"/>
      <c r="J73" s="207"/>
      <c r="K73" s="291"/>
      <c r="L73" s="207"/>
      <c r="M73" s="207"/>
      <c r="N73" s="207"/>
      <c r="O73" s="208"/>
    </row>
    <row r="74" spans="1:32" ht="24.75">
      <c r="A74" s="134"/>
      <c r="B74" s="138"/>
      <c r="D74" s="140"/>
      <c r="E74" s="139"/>
      <c r="F74" s="209"/>
      <c r="G74" s="210"/>
      <c r="H74" s="210"/>
      <c r="I74" s="210"/>
      <c r="J74" s="207"/>
      <c r="K74" s="207"/>
      <c r="L74" s="207"/>
      <c r="M74" s="207"/>
      <c r="N74" s="210" t="e">
        <f>+#REF!+#REF!+#REF!+#REF!+#REF!+#REF!+#REF!+#REF!+#REF!</f>
        <v>#REF!</v>
      </c>
      <c r="O74" s="210"/>
    </row>
    <row r="75" spans="1:32" ht="24.75">
      <c r="A75" s="137"/>
      <c r="B75" s="138"/>
      <c r="D75" s="140"/>
      <c r="E75" s="139"/>
      <c r="F75" s="209"/>
      <c r="G75" s="210"/>
      <c r="H75" s="210"/>
      <c r="I75" s="210"/>
      <c r="J75" s="210"/>
      <c r="K75" s="210"/>
      <c r="L75" s="210"/>
      <c r="M75" s="210"/>
      <c r="N75" s="210" t="e">
        <f>+N74+N56</f>
        <v>#REF!</v>
      </c>
      <c r="O75" s="210"/>
    </row>
    <row r="76" spans="1:32" ht="24.75">
      <c r="A76" s="142" t="s">
        <v>471</v>
      </c>
      <c r="C76" s="142" t="s">
        <v>357</v>
      </c>
      <c r="G76" s="210"/>
      <c r="H76" s="210"/>
      <c r="I76" s="212"/>
      <c r="J76" s="210"/>
      <c r="K76" s="210"/>
      <c r="L76" s="210"/>
      <c r="M76" s="210"/>
      <c r="N76" s="210"/>
      <c r="O76" s="210"/>
    </row>
    <row r="77" spans="1:32" ht="24.75">
      <c r="A77" s="143" t="s">
        <v>473</v>
      </c>
      <c r="C77" s="143" t="s">
        <v>477</v>
      </c>
      <c r="G77" s="210"/>
      <c r="O77" s="210"/>
    </row>
    <row r="78" spans="1:32" ht="24.75">
      <c r="G78" s="212"/>
      <c r="H78" s="212"/>
      <c r="I78" s="210"/>
      <c r="J78" s="210"/>
      <c r="K78" s="210"/>
      <c r="L78" s="210"/>
      <c r="M78" s="210"/>
      <c r="N78" s="210"/>
      <c r="O78" s="210"/>
    </row>
    <row r="79" spans="1:32" ht="24.75">
      <c r="G79" s="212"/>
      <c r="H79" s="212"/>
      <c r="I79" s="210"/>
      <c r="J79" s="210"/>
      <c r="K79" s="210"/>
      <c r="L79" s="210"/>
      <c r="M79" s="210"/>
      <c r="N79" s="210"/>
      <c r="O79" s="210"/>
    </row>
    <row r="80" spans="1:32" ht="24.75">
      <c r="A80" s="287" t="s">
        <v>97</v>
      </c>
      <c r="G80" s="210"/>
      <c r="H80" s="287" t="s">
        <v>481</v>
      </c>
      <c r="I80" s="210"/>
      <c r="J80" s="210"/>
      <c r="K80" s="210"/>
      <c r="L80" s="210"/>
      <c r="M80" s="210"/>
      <c r="N80" s="210"/>
      <c r="O80" s="210"/>
    </row>
    <row r="81" spans="1:15" ht="24.75">
      <c r="A81" s="137"/>
      <c r="G81" s="210"/>
      <c r="I81" s="210"/>
      <c r="J81" s="210"/>
      <c r="K81" s="210"/>
      <c r="L81" s="210"/>
      <c r="M81" s="210"/>
      <c r="N81" s="210"/>
      <c r="O81" s="210"/>
    </row>
    <row r="82" spans="1:15" ht="24.75">
      <c r="A82" s="158"/>
      <c r="B82" s="140"/>
      <c r="C82" s="158"/>
      <c r="D82" s="139"/>
      <c r="E82" s="141"/>
      <c r="F82" s="211"/>
      <c r="G82" s="210" t="s">
        <v>51</v>
      </c>
      <c r="H82" s="212"/>
      <c r="I82" s="210"/>
      <c r="J82" s="210"/>
      <c r="K82" s="210"/>
      <c r="L82" s="210"/>
      <c r="M82" s="210"/>
      <c r="N82" s="210"/>
      <c r="O82" s="210"/>
    </row>
    <row r="83" spans="1:15" ht="24.75">
      <c r="A83" s="142" t="s">
        <v>472</v>
      </c>
      <c r="B83" s="140"/>
      <c r="C83" s="142" t="s">
        <v>355</v>
      </c>
      <c r="D83" s="139"/>
      <c r="E83" s="141"/>
      <c r="F83" s="213"/>
      <c r="G83" s="210"/>
      <c r="H83" s="142" t="s">
        <v>398</v>
      </c>
      <c r="I83" s="210"/>
      <c r="J83" s="210"/>
      <c r="K83" s="210"/>
      <c r="L83" s="210"/>
      <c r="M83" s="210"/>
      <c r="N83" s="210"/>
      <c r="O83" s="210"/>
    </row>
    <row r="84" spans="1:15" ht="24.75">
      <c r="A84" s="143" t="s">
        <v>474</v>
      </c>
      <c r="B84" s="140"/>
      <c r="C84" s="143" t="s">
        <v>475</v>
      </c>
      <c r="D84" s="139"/>
      <c r="E84" s="141"/>
      <c r="F84" s="213"/>
      <c r="G84" s="210"/>
      <c r="H84" s="143" t="s">
        <v>367</v>
      </c>
      <c r="I84" s="210"/>
      <c r="J84" s="210"/>
      <c r="K84" s="210"/>
      <c r="L84" s="210"/>
      <c r="M84" s="210"/>
      <c r="N84" s="210"/>
      <c r="O84" s="210"/>
    </row>
    <row r="85" spans="1:15" ht="24.75">
      <c r="A85" s="143"/>
      <c r="B85" s="140"/>
      <c r="C85" s="143"/>
      <c r="D85" s="139"/>
      <c r="E85" s="141"/>
      <c r="F85" s="213"/>
      <c r="G85" s="210"/>
      <c r="H85" s="210"/>
      <c r="I85" s="210"/>
      <c r="J85" s="210"/>
      <c r="K85" s="210"/>
      <c r="L85" s="210"/>
      <c r="M85" s="210"/>
      <c r="N85" s="210"/>
      <c r="O85" s="210"/>
    </row>
    <row r="86" spans="1:15" ht="24.75">
      <c r="A86" s="144"/>
      <c r="B86" s="145"/>
      <c r="C86" s="146"/>
      <c r="D86" s="136"/>
      <c r="E86" s="135"/>
      <c r="G86" s="210"/>
      <c r="H86" s="210"/>
      <c r="I86" s="210"/>
      <c r="J86" s="210"/>
      <c r="K86" s="210"/>
      <c r="L86" s="210"/>
      <c r="M86" s="210"/>
      <c r="N86" s="210"/>
      <c r="O86" s="210"/>
    </row>
    <row r="87" spans="1:15" ht="24.75">
      <c r="A87" s="287" t="s">
        <v>270</v>
      </c>
      <c r="B87" s="158"/>
      <c r="C87" s="158"/>
      <c r="D87" s="158"/>
      <c r="E87" s="139"/>
      <c r="F87" s="210"/>
      <c r="G87" s="210"/>
      <c r="I87" s="210"/>
      <c r="J87" s="210"/>
      <c r="K87" s="210"/>
      <c r="L87" s="210"/>
      <c r="M87" s="210"/>
      <c r="N87" s="210"/>
      <c r="O87" s="210"/>
    </row>
    <row r="88" spans="1:15" ht="24.75">
      <c r="A88" s="137"/>
      <c r="B88" s="158"/>
      <c r="C88" s="158"/>
      <c r="D88" s="158"/>
      <c r="E88" s="139"/>
      <c r="F88" s="210"/>
      <c r="G88" s="210"/>
      <c r="H88" s="210"/>
      <c r="I88" s="210"/>
      <c r="J88" s="210"/>
      <c r="K88" s="210"/>
      <c r="L88" s="210"/>
      <c r="M88" s="210"/>
      <c r="N88" s="210"/>
      <c r="O88" s="210"/>
    </row>
    <row r="89" spans="1:15" ht="24.75">
      <c r="A89" s="137"/>
      <c r="B89" s="158"/>
      <c r="C89" s="158"/>
      <c r="D89" s="158"/>
      <c r="E89" s="133"/>
      <c r="F89" s="210"/>
      <c r="G89" s="210"/>
      <c r="H89" s="210"/>
      <c r="I89" s="210"/>
      <c r="J89" s="210"/>
      <c r="K89" s="210"/>
      <c r="L89" s="210"/>
      <c r="M89" s="210"/>
      <c r="N89" s="210"/>
      <c r="O89" s="210"/>
    </row>
    <row r="90" spans="1:15" ht="24.75">
      <c r="A90" s="142" t="s">
        <v>345</v>
      </c>
      <c r="B90" s="158"/>
      <c r="C90" s="158"/>
      <c r="D90" s="158"/>
      <c r="E90" s="133"/>
      <c r="F90" s="210"/>
      <c r="G90" s="210"/>
      <c r="H90" s="210"/>
      <c r="I90" s="210"/>
      <c r="J90" s="210"/>
      <c r="K90" s="210"/>
      <c r="L90" s="210"/>
      <c r="M90" s="210"/>
      <c r="N90" s="210"/>
      <c r="O90" s="210"/>
    </row>
    <row r="91" spans="1:15" ht="24.75">
      <c r="A91" s="143" t="s">
        <v>346</v>
      </c>
      <c r="B91" s="158"/>
      <c r="C91" s="158"/>
      <c r="D91" s="158"/>
      <c r="E91" s="158"/>
      <c r="F91" s="210"/>
      <c r="G91" s="210"/>
      <c r="H91" s="210"/>
      <c r="I91" s="210"/>
      <c r="J91" s="210"/>
      <c r="K91" s="210"/>
      <c r="L91" s="210"/>
      <c r="M91" s="210"/>
      <c r="N91" s="210"/>
      <c r="O91" s="210"/>
    </row>
    <row r="92" spans="1:15" ht="24.75">
      <c r="A92" s="158"/>
      <c r="B92" s="158"/>
      <c r="C92" s="209"/>
      <c r="D92" s="158"/>
      <c r="E92" s="158"/>
      <c r="F92" s="210"/>
      <c r="G92" s="210"/>
      <c r="H92" s="210"/>
      <c r="I92" s="210"/>
      <c r="J92" s="210"/>
      <c r="K92" s="210"/>
      <c r="L92" s="210"/>
      <c r="M92" s="210"/>
      <c r="N92" s="210"/>
      <c r="O92" s="210"/>
    </row>
    <row r="93" spans="1:15" ht="24.75">
      <c r="A93" s="158"/>
      <c r="B93" s="158"/>
      <c r="C93" s="209"/>
      <c r="D93" s="214"/>
      <c r="E93" s="209"/>
      <c r="F93" s="210"/>
      <c r="G93" s="210"/>
      <c r="H93" s="210"/>
      <c r="I93" s="210"/>
      <c r="J93" s="210"/>
      <c r="K93" s="210"/>
      <c r="L93" s="210"/>
      <c r="M93" s="210"/>
      <c r="N93" s="210"/>
      <c r="O93" s="210"/>
    </row>
    <row r="94" spans="1:15" ht="24.75">
      <c r="A94" s="287" t="s">
        <v>10</v>
      </c>
      <c r="B94" s="147"/>
      <c r="C94" s="158"/>
      <c r="D94" s="138"/>
      <c r="E94" s="139"/>
      <c r="F94" s="210"/>
      <c r="G94" s="210"/>
      <c r="I94" s="210"/>
      <c r="J94" s="210"/>
      <c r="K94" s="210"/>
      <c r="L94" s="211"/>
      <c r="M94" s="210"/>
      <c r="N94" s="210"/>
      <c r="O94" s="210"/>
    </row>
    <row r="95" spans="1:15" ht="24.75">
      <c r="A95" s="158"/>
      <c r="B95" s="282"/>
      <c r="C95" s="158"/>
      <c r="D95" s="149"/>
      <c r="E95" s="209"/>
      <c r="F95" s="209"/>
      <c r="G95" s="210"/>
      <c r="H95" s="210"/>
      <c r="I95" s="210"/>
      <c r="J95" s="210"/>
      <c r="K95" s="210"/>
      <c r="L95" s="210"/>
      <c r="M95" s="210"/>
      <c r="N95" s="210"/>
      <c r="O95" s="210"/>
    </row>
    <row r="96" spans="1:15" ht="24.75">
      <c r="A96" s="158"/>
      <c r="B96" s="239"/>
      <c r="C96" s="158"/>
      <c r="D96" s="149"/>
      <c r="E96" s="209"/>
      <c r="F96" s="209"/>
      <c r="G96" s="210"/>
      <c r="H96" s="210"/>
      <c r="I96" s="210"/>
      <c r="J96" s="210"/>
    </row>
    <row r="97" spans="1:10" ht="24.75">
      <c r="A97" s="142" t="s">
        <v>476</v>
      </c>
      <c r="B97" s="138"/>
      <c r="C97" s="158"/>
      <c r="D97" s="149"/>
      <c r="E97" s="209"/>
      <c r="F97" s="209"/>
      <c r="G97" s="210"/>
      <c r="H97" s="210"/>
      <c r="I97" s="210"/>
      <c r="J97" s="210"/>
    </row>
    <row r="98" spans="1:10" ht="24.75">
      <c r="A98" s="143" t="s">
        <v>496</v>
      </c>
      <c r="B98" s="138"/>
      <c r="C98" s="158"/>
      <c r="D98" s="133"/>
      <c r="E98" s="209"/>
      <c r="F98" s="209"/>
      <c r="G98" s="210"/>
      <c r="H98" s="210"/>
      <c r="I98" s="210"/>
      <c r="J98" s="210"/>
    </row>
    <row r="99" spans="1:10" ht="24.75">
      <c r="A99" s="158"/>
      <c r="B99" s="138"/>
      <c r="C99" s="158"/>
      <c r="D99" s="133"/>
      <c r="E99" s="209"/>
      <c r="F99" s="209"/>
      <c r="G99" s="210"/>
      <c r="H99" s="210"/>
      <c r="I99" s="210"/>
      <c r="J99" s="210"/>
    </row>
    <row r="100" spans="1:10" ht="24.75">
      <c r="A100" s="158"/>
      <c r="H100" s="210"/>
      <c r="I100" s="210"/>
      <c r="J100" s="210"/>
    </row>
    <row r="101" spans="1:10" ht="24.75">
      <c r="A101" s="287" t="s">
        <v>11</v>
      </c>
      <c r="H101" s="210"/>
      <c r="I101" s="210"/>
      <c r="J101" s="210"/>
    </row>
    <row r="102" spans="1:10" ht="24.75">
      <c r="A102" s="135"/>
      <c r="B102" s="215"/>
      <c r="C102" s="209"/>
      <c r="D102" s="217"/>
      <c r="E102" s="209"/>
      <c r="F102" s="209"/>
      <c r="G102" s="210"/>
      <c r="H102" s="210"/>
      <c r="I102" s="210"/>
      <c r="J102" s="210"/>
    </row>
    <row r="103" spans="1:10" ht="24.75">
      <c r="A103" s="135"/>
      <c r="B103" s="215"/>
      <c r="C103" s="209"/>
      <c r="D103" s="217"/>
      <c r="E103" s="209"/>
      <c r="F103" s="209"/>
      <c r="G103" s="210"/>
      <c r="H103" s="210"/>
      <c r="I103" s="210"/>
      <c r="J103" s="210"/>
    </row>
    <row r="104" spans="1:10" ht="24.75">
      <c r="A104" s="142" t="s">
        <v>368</v>
      </c>
      <c r="B104" s="215"/>
      <c r="C104" s="209"/>
      <c r="D104" s="217"/>
      <c r="E104" s="209"/>
      <c r="F104" s="209"/>
      <c r="G104" s="210"/>
      <c r="H104" s="210"/>
      <c r="I104" s="210"/>
      <c r="J104" s="210"/>
    </row>
    <row r="105" spans="1:10">
      <c r="A105" s="143" t="s">
        <v>16</v>
      </c>
    </row>
    <row r="146" spans="1:16" s="179" customFormat="1">
      <c r="A146" s="153"/>
      <c r="B146" s="218"/>
      <c r="C146" s="160"/>
      <c r="D146" s="161"/>
      <c r="E146" s="160"/>
      <c r="F146" s="160"/>
      <c r="G146" s="158"/>
      <c r="H146" s="158"/>
      <c r="I146" s="158"/>
      <c r="J146" s="158"/>
      <c r="K146" s="158"/>
      <c r="L146" s="158"/>
      <c r="M146" s="158"/>
      <c r="N146" s="158"/>
      <c r="O146" s="158"/>
      <c r="P146" s="182"/>
    </row>
    <row r="147" spans="1:16" s="179" customFormat="1">
      <c r="A147" s="153"/>
      <c r="B147" s="218"/>
      <c r="C147" s="160"/>
      <c r="D147" s="161"/>
      <c r="E147" s="160"/>
      <c r="F147" s="160"/>
      <c r="G147" s="158"/>
      <c r="H147" s="158"/>
      <c r="I147" s="158"/>
      <c r="J147" s="158"/>
      <c r="K147" s="158"/>
      <c r="L147" s="158"/>
      <c r="M147" s="158"/>
      <c r="N147" s="158"/>
      <c r="O147" s="158"/>
      <c r="P147" s="182"/>
    </row>
    <row r="148" spans="1:16" s="179" customFormat="1">
      <c r="A148" s="153"/>
      <c r="B148" s="218"/>
      <c r="C148" s="160"/>
      <c r="D148" s="161"/>
      <c r="E148" s="160"/>
      <c r="F148" s="160"/>
      <c r="G148" s="158"/>
      <c r="H148" s="158"/>
      <c r="I148" s="158"/>
      <c r="J148" s="158"/>
      <c r="K148" s="158"/>
      <c r="L148" s="158"/>
      <c r="M148" s="158"/>
      <c r="N148" s="158"/>
      <c r="O148" s="158"/>
      <c r="P148" s="182"/>
    </row>
    <row r="166" spans="1:15" ht="135">
      <c r="A166" s="196" t="e">
        <f>+#REF!+0.1</f>
        <v>#REF!</v>
      </c>
      <c r="B166" s="219" t="s">
        <v>353</v>
      </c>
      <c r="C166" s="181"/>
      <c r="D166" s="183"/>
      <c r="E166" s="181"/>
      <c r="F166" s="184"/>
      <c r="G166" s="220"/>
      <c r="H166" s="186"/>
      <c r="I166" s="186"/>
      <c r="J166" s="186"/>
      <c r="K166" s="186"/>
      <c r="L166" s="186"/>
      <c r="M166" s="186"/>
      <c r="N166" s="221"/>
      <c r="O166" s="222"/>
    </row>
    <row r="167" spans="1:15" ht="90">
      <c r="A167" s="196" t="e">
        <f>+A166+0.1</f>
        <v>#REF!</v>
      </c>
      <c r="B167" s="219" t="s">
        <v>354</v>
      </c>
      <c r="C167" s="181"/>
      <c r="D167" s="183"/>
      <c r="E167" s="181"/>
      <c r="F167" s="184"/>
      <c r="G167" s="220"/>
      <c r="H167" s="186"/>
      <c r="I167" s="186"/>
      <c r="J167" s="186"/>
      <c r="K167" s="186"/>
      <c r="L167" s="186"/>
      <c r="M167" s="186"/>
      <c r="N167" s="221"/>
      <c r="O167" s="222"/>
    </row>
    <row r="168" spans="1:15" ht="24.75">
      <c r="A168" s="223"/>
      <c r="B168" s="197"/>
      <c r="C168" s="184"/>
      <c r="D168" s="183"/>
      <c r="E168" s="184"/>
      <c r="F168" s="184"/>
      <c r="G168" s="220"/>
      <c r="H168" s="186"/>
      <c r="I168" s="186"/>
      <c r="J168" s="186"/>
      <c r="K168" s="186"/>
      <c r="L168" s="186"/>
      <c r="M168" s="224"/>
      <c r="N168" s="225"/>
      <c r="O168" s="226"/>
    </row>
  </sheetData>
  <mergeCells count="23">
    <mergeCell ref="C69:N69"/>
    <mergeCell ref="A70:B70"/>
    <mergeCell ref="C70:N70"/>
    <mergeCell ref="H2:I2"/>
    <mergeCell ref="H3:I3"/>
    <mergeCell ref="G4:J4"/>
    <mergeCell ref="G5:J5"/>
    <mergeCell ref="G6:J6"/>
    <mergeCell ref="A69:B69"/>
    <mergeCell ref="X49:AB49"/>
    <mergeCell ref="A16:A43"/>
    <mergeCell ref="B16:B43"/>
    <mergeCell ref="C16:C17"/>
    <mergeCell ref="D16:D17"/>
    <mergeCell ref="E16:E17"/>
    <mergeCell ref="N16:N17"/>
    <mergeCell ref="O16:O17"/>
    <mergeCell ref="F16:F17"/>
    <mergeCell ref="G16:G41"/>
    <mergeCell ref="H16:I16"/>
    <mergeCell ref="J16:K16"/>
    <mergeCell ref="L16:L17"/>
    <mergeCell ref="M16:M17"/>
  </mergeCells>
  <phoneticPr fontId="36" type="noConversion"/>
  <printOptions horizontalCentered="1"/>
  <pageMargins left="0.62992125984251968" right="0.62992125984251968" top="0.62992125984251968" bottom="0.62992125984251968" header="0.31496062992125984" footer="0.31496062992125984"/>
  <pageSetup paperSize="10000" scale="33" fitToHeight="0" orientation="landscape" r:id="rId1"/>
  <headerFooter>
    <oddFooter>&amp;L&amp;12Project:  Repair &amp; Repainting of TSU Hotel
Location Tarlac State University Lucinda Extension Campus
Duration: 150 Calendar Days&amp;C&amp;12Page &amp;P of &amp;N</oddFooter>
  </headerFooter>
  <rowBreaks count="1" manualBreakCount="1">
    <brk id="72" max="14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56A60-7DB7-41A6-8146-2F7A6E413EF1}">
  <sheetPr>
    <pageSetUpPr fitToPage="1"/>
  </sheetPr>
  <dimension ref="A1:G52"/>
  <sheetViews>
    <sheetView tabSelected="1" view="pageBreakPreview" topLeftCell="A24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3</v>
      </c>
      <c r="B9" s="246" t="s">
        <v>490</v>
      </c>
      <c r="C9" s="247"/>
      <c r="D9" s="247"/>
      <c r="E9" s="247"/>
      <c r="F9" s="247"/>
    </row>
    <row r="10" spans="1:6" ht="58.5" customHeight="1">
      <c r="A10" s="248">
        <v>3.6</v>
      </c>
      <c r="B10" s="249" t="s">
        <v>522</v>
      </c>
      <c r="C10" s="300">
        <v>92.928000000000011</v>
      </c>
      <c r="D10" s="251" t="s">
        <v>98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216F8-0E61-442C-8569-C109D5113544}">
  <sheetPr>
    <pageSetUpPr fitToPage="1"/>
  </sheetPr>
  <dimension ref="A1:G52"/>
  <sheetViews>
    <sheetView tabSelected="1" view="pageBreakPreview" topLeftCell="A20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3</v>
      </c>
      <c r="B9" s="246" t="s">
        <v>490</v>
      </c>
      <c r="C9" s="247"/>
      <c r="D9" s="247"/>
      <c r="E9" s="247"/>
      <c r="F9" s="247"/>
    </row>
    <row r="10" spans="1:6" ht="58.5" customHeight="1">
      <c r="A10" s="248">
        <v>3.7</v>
      </c>
      <c r="B10" s="249" t="s">
        <v>512</v>
      </c>
      <c r="C10" s="300">
        <v>76.099999999999994</v>
      </c>
      <c r="D10" s="251" t="s">
        <v>98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BF046-4FCF-43BA-AE22-1743B5F4450D}">
  <sheetPr>
    <pageSetUpPr fitToPage="1"/>
  </sheetPr>
  <dimension ref="A1:G52"/>
  <sheetViews>
    <sheetView tabSelected="1" view="pageBreakPreview" topLeftCell="A15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4</v>
      </c>
      <c r="B9" s="246" t="s">
        <v>478</v>
      </c>
      <c r="C9" s="247"/>
      <c r="D9" s="247"/>
      <c r="E9" s="247"/>
      <c r="F9" s="247"/>
    </row>
    <row r="10" spans="1:6" ht="58.5" customHeight="1">
      <c r="A10" s="248">
        <v>4.0999999999999996</v>
      </c>
      <c r="B10" s="249" t="s">
        <v>514</v>
      </c>
      <c r="C10" s="300">
        <v>76.83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D858B-6000-4083-AFAA-F5226F34119B}">
  <sheetPr>
    <pageSetUpPr fitToPage="1"/>
  </sheetPr>
  <dimension ref="A1:G52"/>
  <sheetViews>
    <sheetView tabSelected="1" view="pageBreakPreview" topLeftCell="A12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4</v>
      </c>
      <c r="B9" s="246" t="s">
        <v>478</v>
      </c>
      <c r="C9" s="247"/>
      <c r="D9" s="247"/>
      <c r="E9" s="247"/>
      <c r="F9" s="247"/>
    </row>
    <row r="10" spans="1:6" ht="58.5" customHeight="1">
      <c r="A10" s="248">
        <v>4.2</v>
      </c>
      <c r="B10" s="249" t="s">
        <v>515</v>
      </c>
      <c r="C10" s="300">
        <v>1</v>
      </c>
      <c r="D10" s="251" t="s">
        <v>1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0FAB-7A60-4510-B389-1793129770C0}">
  <sheetPr>
    <pageSetUpPr fitToPage="1"/>
  </sheetPr>
  <dimension ref="A1:G52"/>
  <sheetViews>
    <sheetView tabSelected="1" view="pageBreakPreview" topLeftCell="A20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4</v>
      </c>
      <c r="B9" s="246" t="s">
        <v>478</v>
      </c>
      <c r="C9" s="247"/>
      <c r="D9" s="247"/>
      <c r="E9" s="247"/>
      <c r="F9" s="247"/>
    </row>
    <row r="10" spans="1:6" ht="58.5" customHeight="1">
      <c r="A10" s="248">
        <v>4.3</v>
      </c>
      <c r="B10" s="249" t="s">
        <v>520</v>
      </c>
      <c r="C10" s="300">
        <v>1</v>
      </c>
      <c r="D10" s="251" t="s">
        <v>1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D6B27-CC67-4DCB-8B8E-0E7C9CD791DF}">
  <sheetPr>
    <pageSetUpPr fitToPage="1"/>
  </sheetPr>
  <dimension ref="A1:G52"/>
  <sheetViews>
    <sheetView tabSelected="1" view="pageBreakPreview" topLeftCell="A20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4</v>
      </c>
      <c r="B9" s="246" t="s">
        <v>478</v>
      </c>
      <c r="C9" s="247"/>
      <c r="D9" s="247"/>
      <c r="E9" s="247"/>
      <c r="F9" s="247"/>
    </row>
    <row r="10" spans="1:6" ht="58.5" customHeight="1">
      <c r="A10" s="248">
        <v>4.4000000000000004</v>
      </c>
      <c r="B10" s="249" t="s">
        <v>519</v>
      </c>
      <c r="C10" s="300">
        <v>1</v>
      </c>
      <c r="D10" s="251" t="s">
        <v>1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2E3AA-7567-4D3B-A390-788F5F051F04}">
  <sheetPr>
    <pageSetUpPr fitToPage="1"/>
  </sheetPr>
  <dimension ref="A1:G52"/>
  <sheetViews>
    <sheetView tabSelected="1" view="pageBreakPreview" topLeftCell="A20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4</v>
      </c>
      <c r="B9" s="246" t="s">
        <v>478</v>
      </c>
      <c r="C9" s="247"/>
      <c r="D9" s="247"/>
      <c r="E9" s="247"/>
      <c r="F9" s="247"/>
    </row>
    <row r="10" spans="1:6" ht="58.5" customHeight="1">
      <c r="A10" s="248">
        <v>4.5</v>
      </c>
      <c r="B10" s="249" t="s">
        <v>516</v>
      </c>
      <c r="C10" s="300">
        <v>11</v>
      </c>
      <c r="D10" s="251" t="s">
        <v>1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EAD6-AC0C-4314-9975-51C98111A023}">
  <sheetPr>
    <pageSetUpPr fitToPage="1"/>
  </sheetPr>
  <dimension ref="A1:G52"/>
  <sheetViews>
    <sheetView tabSelected="1" view="pageBreakPreview" topLeftCell="A21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4</v>
      </c>
      <c r="B9" s="246" t="s">
        <v>478</v>
      </c>
      <c r="C9" s="247"/>
      <c r="D9" s="247"/>
      <c r="E9" s="247"/>
      <c r="F9" s="247"/>
    </row>
    <row r="10" spans="1:6" ht="58.5" customHeight="1">
      <c r="A10" s="248">
        <v>4.5999999999999996</v>
      </c>
      <c r="B10" s="249" t="s">
        <v>518</v>
      </c>
      <c r="C10" s="300">
        <v>2</v>
      </c>
      <c r="D10" s="251" t="s">
        <v>1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82DE-33BE-4018-B1B1-51B19CD4DD92}">
  <sheetPr>
    <pageSetUpPr fitToPage="1"/>
  </sheetPr>
  <dimension ref="A1:G52"/>
  <sheetViews>
    <sheetView tabSelected="1" view="pageBreakPreview" topLeftCell="A26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4</v>
      </c>
      <c r="B9" s="246" t="s">
        <v>478</v>
      </c>
      <c r="C9" s="247"/>
      <c r="D9" s="247"/>
      <c r="E9" s="247"/>
      <c r="F9" s="247"/>
    </row>
    <row r="10" spans="1:6" ht="58.5" customHeight="1">
      <c r="A10" s="248">
        <v>4.7</v>
      </c>
      <c r="B10" s="249" t="s">
        <v>517</v>
      </c>
      <c r="C10" s="300">
        <v>4</v>
      </c>
      <c r="D10" s="251" t="s">
        <v>1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0B2A-B73D-45BB-967C-F349D2E5D603}">
  <sheetPr>
    <pageSetUpPr fitToPage="1"/>
  </sheetPr>
  <dimension ref="A1:G52"/>
  <sheetViews>
    <sheetView tabSelected="1" view="pageBreakPreview" topLeftCell="A21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4</v>
      </c>
      <c r="B9" s="246" t="s">
        <v>478</v>
      </c>
      <c r="C9" s="247"/>
      <c r="D9" s="247"/>
      <c r="E9" s="247"/>
      <c r="F9" s="247"/>
    </row>
    <row r="10" spans="1:6" ht="58.5" customHeight="1">
      <c r="A10" s="248">
        <v>4.8</v>
      </c>
      <c r="B10" s="249" t="s">
        <v>482</v>
      </c>
      <c r="C10" s="300">
        <v>1</v>
      </c>
      <c r="D10" s="251" t="s">
        <v>5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1478-8985-4482-A9BE-CCE911DF1946}">
  <sheetPr>
    <pageSetUpPr fitToPage="1"/>
  </sheetPr>
  <dimension ref="A1:G52"/>
  <sheetViews>
    <sheetView tabSelected="1" view="pageBreakPreview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8.710937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1</v>
      </c>
      <c r="B9" s="246" t="s">
        <v>352</v>
      </c>
      <c r="C9" s="247"/>
      <c r="D9" s="247"/>
      <c r="E9" s="247"/>
      <c r="F9" s="247"/>
    </row>
    <row r="10" spans="1:6" ht="45">
      <c r="A10" s="248">
        <v>1.1000000000000001</v>
      </c>
      <c r="B10" s="249" t="s">
        <v>370</v>
      </c>
      <c r="C10" s="250">
        <v>1</v>
      </c>
      <c r="D10" s="251" t="s">
        <v>5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3" t="s">
        <v>510</v>
      </c>
      <c r="D49" s="303"/>
      <c r="E49" s="303"/>
      <c r="F49" s="303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4.25" customHeight="1">
      <c r="C51" s="303" t="s">
        <v>535</v>
      </c>
      <c r="D51" s="328" t="s">
        <v>537</v>
      </c>
      <c r="E51" s="328"/>
      <c r="F51" s="328"/>
    </row>
    <row r="52" spans="1:6" ht="15">
      <c r="C52" s="260"/>
      <c r="D52" s="328" t="s">
        <v>538</v>
      </c>
      <c r="E52" s="328"/>
      <c r="F52" s="328"/>
    </row>
  </sheetData>
  <mergeCells count="31">
    <mergeCell ref="A43:D43"/>
    <mergeCell ref="A44:D44"/>
    <mergeCell ref="B12:F12"/>
    <mergeCell ref="A1:F1"/>
    <mergeCell ref="A7:F7"/>
    <mergeCell ref="A11:F11"/>
    <mergeCell ref="B32:E32"/>
    <mergeCell ref="B24:E24"/>
    <mergeCell ref="A25:F25"/>
    <mergeCell ref="B26:F26"/>
    <mergeCell ref="C27:D27"/>
    <mergeCell ref="C30:D30"/>
    <mergeCell ref="C29:D29"/>
    <mergeCell ref="C28:D28"/>
    <mergeCell ref="C31:D31"/>
    <mergeCell ref="D50:F50"/>
    <mergeCell ref="D51:F51"/>
    <mergeCell ref="D52:F52"/>
    <mergeCell ref="A33:F33"/>
    <mergeCell ref="B34:F34"/>
    <mergeCell ref="C35:D35"/>
    <mergeCell ref="A45:E45"/>
    <mergeCell ref="A46:E46"/>
    <mergeCell ref="A47:E47"/>
    <mergeCell ref="C36:D36"/>
    <mergeCell ref="C37:D37"/>
    <mergeCell ref="C38:D38"/>
    <mergeCell ref="C39:D39"/>
    <mergeCell ref="C40:D40"/>
    <mergeCell ref="B41:E41"/>
    <mergeCell ref="A42:F42"/>
  </mergeCells>
  <pageMargins left="0.7" right="0.7" top="0.75" bottom="0.75" header="0.3" footer="0.3"/>
  <pageSetup paperSize="14" scale="74" fitToHeight="0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833E7-EC0A-4097-A258-FC1C05F42A55}">
  <sheetPr>
    <pageSetUpPr fitToPage="1"/>
  </sheetPr>
  <dimension ref="A1:G52"/>
  <sheetViews>
    <sheetView tabSelected="1" view="pageBreakPreview" topLeftCell="A19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4</v>
      </c>
      <c r="B9" s="246" t="s">
        <v>478</v>
      </c>
      <c r="C9" s="247"/>
      <c r="D9" s="247"/>
      <c r="E9" s="247"/>
      <c r="F9" s="247"/>
    </row>
    <row r="10" spans="1:6" ht="58.5" customHeight="1">
      <c r="A10" s="248">
        <v>4.9000000000000004</v>
      </c>
      <c r="B10" s="249" t="s">
        <v>539</v>
      </c>
      <c r="C10" s="300">
        <v>1</v>
      </c>
      <c r="D10" s="251" t="s">
        <v>5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 t="s">
        <v>540</v>
      </c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C670-E5FE-480D-8EB3-F1935ECEEB61}">
  <dimension ref="A1:Y191"/>
  <sheetViews>
    <sheetView workbookViewId="0">
      <selection activeCell="E53" sqref="E53"/>
    </sheetView>
  </sheetViews>
  <sheetFormatPr defaultColWidth="9.140625" defaultRowHeight="15"/>
  <cols>
    <col min="1" max="1" width="13.7109375" style="101" customWidth="1"/>
    <col min="2" max="2" width="12.7109375" style="101" customWidth="1"/>
    <col min="3" max="3" width="13.5703125" style="101" bestFit="1" customWidth="1"/>
    <col min="4" max="4" width="9.5703125" style="101" bestFit="1" customWidth="1"/>
    <col min="5" max="13" width="9.140625" style="101"/>
    <col min="14" max="14" width="16" style="101" customWidth="1"/>
    <col min="15" max="15" width="18.85546875" style="101" customWidth="1"/>
    <col min="16" max="16" width="19.140625" style="101" customWidth="1"/>
    <col min="17" max="16384" width="9.140625" style="101"/>
  </cols>
  <sheetData>
    <row r="1" spans="1:25" ht="15.75">
      <c r="A1" s="339" t="s">
        <v>469</v>
      </c>
      <c r="B1" s="340"/>
      <c r="C1" s="340"/>
      <c r="D1" s="340"/>
      <c r="E1" s="340"/>
      <c r="F1" s="340"/>
      <c r="G1" s="34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ht="15.75">
      <c r="A2" s="102" t="s">
        <v>376</v>
      </c>
      <c r="B2" s="102" t="s">
        <v>380</v>
      </c>
      <c r="C2" s="103" t="s">
        <v>180</v>
      </c>
      <c r="D2" s="122" t="s">
        <v>377</v>
      </c>
      <c r="E2" s="121" t="s">
        <v>378</v>
      </c>
      <c r="F2" s="120" t="s">
        <v>379</v>
      </c>
      <c r="G2" s="119" t="s">
        <v>387</v>
      </c>
      <c r="H2" s="118" t="s">
        <v>375</v>
      </c>
      <c r="I2" s="100"/>
      <c r="J2" s="100"/>
      <c r="K2" s="100"/>
      <c r="L2" s="100"/>
      <c r="M2" s="100"/>
      <c r="N2" s="100"/>
      <c r="O2" s="100"/>
      <c r="P2" s="100">
        <v>1427789.4000000001</v>
      </c>
      <c r="Q2" s="100"/>
      <c r="R2" s="100">
        <f>164.28*2</f>
        <v>328.56</v>
      </c>
      <c r="S2" s="100"/>
      <c r="T2" s="100"/>
      <c r="U2" s="100"/>
      <c r="V2" s="100"/>
      <c r="W2" s="100"/>
      <c r="X2" s="100"/>
      <c r="Y2" s="100"/>
    </row>
    <row r="3" spans="1:25">
      <c r="A3" s="107" t="s">
        <v>381</v>
      </c>
      <c r="B3" s="104" t="s">
        <v>360</v>
      </c>
      <c r="C3" s="105">
        <v>1</v>
      </c>
      <c r="D3" s="341">
        <f>+K106</f>
        <v>460</v>
      </c>
      <c r="E3" s="347">
        <f>L106</f>
        <v>30</v>
      </c>
      <c r="F3" s="109"/>
      <c r="G3" s="108"/>
      <c r="H3" s="123"/>
      <c r="I3" s="100"/>
      <c r="J3" s="100">
        <v>31.71</v>
      </c>
      <c r="K3" s="100" t="s">
        <v>433</v>
      </c>
      <c r="L3" s="100"/>
      <c r="M3" s="100">
        <f>J3/J7</f>
        <v>5.0280498904325927E-2</v>
      </c>
      <c r="N3" s="100">
        <f>P3*M3</f>
        <v>71789.963362308175</v>
      </c>
      <c r="O3" s="278">
        <f>Q3*M3</f>
        <v>45252.449013893332</v>
      </c>
      <c r="P3" s="100">
        <v>1427789.4000000001</v>
      </c>
      <c r="Q3" s="100">
        <v>900000</v>
      </c>
      <c r="R3" s="100">
        <f>61.06*2</f>
        <v>122.12</v>
      </c>
      <c r="S3" s="100"/>
      <c r="T3" s="100"/>
      <c r="U3" s="100"/>
      <c r="V3" s="100"/>
      <c r="W3" s="100"/>
      <c r="X3" s="100"/>
      <c r="Y3" s="100"/>
    </row>
    <row r="4" spans="1:25">
      <c r="A4" s="107" t="s">
        <v>382</v>
      </c>
      <c r="B4" s="104" t="s">
        <v>360</v>
      </c>
      <c r="C4" s="105">
        <v>1</v>
      </c>
      <c r="D4" s="342"/>
      <c r="E4" s="348"/>
      <c r="F4" s="109"/>
      <c r="G4" s="108"/>
      <c r="H4" s="123"/>
      <c r="I4" s="100"/>
      <c r="J4" s="100">
        <f>D11+E9+G11</f>
        <v>460</v>
      </c>
      <c r="K4" s="100" t="s">
        <v>434</v>
      </c>
      <c r="L4" s="100"/>
      <c r="M4" s="100">
        <f>J4/J7</f>
        <v>0.72939228937212008</v>
      </c>
      <c r="N4" s="100">
        <f t="shared" ref="N4:N6" si="0">P4*M4</f>
        <v>1041418.5792072458</v>
      </c>
      <c r="O4" s="278">
        <f>Q4*M4</f>
        <v>656453.06043490802</v>
      </c>
      <c r="P4" s="100">
        <v>1427789.4000000001</v>
      </c>
      <c r="Q4" s="100">
        <v>900000</v>
      </c>
      <c r="R4" s="100">
        <f>70*2</f>
        <v>140</v>
      </c>
      <c r="S4" s="100"/>
      <c r="T4" s="100"/>
      <c r="U4" s="100"/>
      <c r="V4" s="100"/>
      <c r="W4" s="100"/>
      <c r="X4" s="100"/>
      <c r="Y4" s="100"/>
    </row>
    <row r="5" spans="1:25">
      <c r="A5" s="107" t="s">
        <v>383</v>
      </c>
      <c r="B5" s="104" t="s">
        <v>360</v>
      </c>
      <c r="C5" s="105">
        <v>1</v>
      </c>
      <c r="D5" s="342"/>
      <c r="E5" s="348"/>
      <c r="F5" s="109"/>
      <c r="G5" s="108"/>
      <c r="H5" s="123"/>
      <c r="I5" s="100"/>
      <c r="J5" s="100">
        <f>126.32*1.1</f>
        <v>138.952</v>
      </c>
      <c r="K5" s="100" t="s">
        <v>435</v>
      </c>
      <c r="L5" s="100"/>
      <c r="M5" s="100">
        <f>J5/J7</f>
        <v>0.22032721172355396</v>
      </c>
      <c r="N5" s="100">
        <f t="shared" si="0"/>
        <v>314580.85743044614</v>
      </c>
      <c r="O5" s="278">
        <f t="shared" ref="O5:O6" si="1">Q5*M5</f>
        <v>198294.49055119857</v>
      </c>
      <c r="P5" s="100">
        <v>1427789.4000000001</v>
      </c>
      <c r="Q5" s="100">
        <v>900000</v>
      </c>
      <c r="R5" s="100">
        <f>SUM(R2:R4)</f>
        <v>590.68000000000006</v>
      </c>
      <c r="S5" s="100">
        <f>R5*2</f>
        <v>1181.3600000000001</v>
      </c>
      <c r="T5" s="100"/>
      <c r="U5" s="100"/>
      <c r="V5" s="100"/>
      <c r="W5" s="100"/>
      <c r="X5" s="100"/>
      <c r="Y5" s="100"/>
    </row>
    <row r="6" spans="1:25">
      <c r="A6" s="107" t="s">
        <v>384</v>
      </c>
      <c r="B6" s="104" t="s">
        <v>360</v>
      </c>
      <c r="C6" s="105">
        <v>1</v>
      </c>
      <c r="D6" s="342"/>
      <c r="E6" s="348"/>
      <c r="F6" s="109"/>
      <c r="G6" s="108"/>
      <c r="H6" s="123"/>
      <c r="J6" s="101">
        <f>F13</f>
        <v>0</v>
      </c>
      <c r="K6" s="101" t="s">
        <v>436</v>
      </c>
      <c r="L6" s="101" t="s">
        <v>437</v>
      </c>
      <c r="M6" s="101">
        <f>J6/J7</f>
        <v>0</v>
      </c>
      <c r="N6" s="100">
        <f t="shared" si="0"/>
        <v>0</v>
      </c>
      <c r="O6" s="278">
        <f t="shared" si="1"/>
        <v>0</v>
      </c>
      <c r="P6" s="100">
        <v>1427789.4000000001</v>
      </c>
      <c r="Q6" s="100">
        <v>900000</v>
      </c>
    </row>
    <row r="7" spans="1:25">
      <c r="A7" s="107" t="s">
        <v>385</v>
      </c>
      <c r="B7" s="104" t="s">
        <v>360</v>
      </c>
      <c r="C7" s="105">
        <v>1</v>
      </c>
      <c r="D7" s="342"/>
      <c r="E7" s="348"/>
      <c r="F7" s="109"/>
      <c r="G7" s="108"/>
      <c r="H7" s="123"/>
      <c r="I7" s="100"/>
      <c r="J7" s="100">
        <f>J3+J4+J5+J6</f>
        <v>630.66200000000003</v>
      </c>
      <c r="K7" s="100"/>
      <c r="L7" s="100"/>
      <c r="M7" s="100"/>
      <c r="N7" s="100"/>
      <c r="O7" s="100"/>
      <c r="P7" s="100"/>
      <c r="Q7" s="100"/>
      <c r="R7" s="100">
        <f>R5/C43</f>
        <v>193.03267973856211</v>
      </c>
      <c r="S7" s="100">
        <f>S5/C43</f>
        <v>386.06535947712422</v>
      </c>
      <c r="T7" s="100"/>
      <c r="U7" s="100"/>
      <c r="V7" s="100"/>
      <c r="W7" s="100"/>
      <c r="X7" s="100"/>
      <c r="Y7" s="100"/>
    </row>
    <row r="8" spans="1:25" ht="30">
      <c r="A8" s="114" t="s">
        <v>388</v>
      </c>
      <c r="B8" s="104" t="s">
        <v>360</v>
      </c>
      <c r="C8" s="105">
        <v>1</v>
      </c>
      <c r="D8" s="342"/>
      <c r="E8" s="348"/>
      <c r="F8" s="109"/>
      <c r="G8" s="108"/>
      <c r="H8" s="123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</row>
    <row r="9" spans="1:25">
      <c r="A9" s="107" t="s">
        <v>309</v>
      </c>
      <c r="B9" s="104" t="s">
        <v>360</v>
      </c>
      <c r="C9" s="105">
        <v>1</v>
      </c>
      <c r="D9" s="342"/>
      <c r="E9" s="348"/>
      <c r="F9" s="109"/>
      <c r="G9" s="108"/>
      <c r="H9" s="123"/>
      <c r="I9" s="100"/>
      <c r="J9" s="100"/>
      <c r="K9" s="100">
        <v>1515.7</v>
      </c>
      <c r="L9" s="100">
        <f>S7*K9</f>
        <v>585159.26535947714</v>
      </c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5">
      <c r="A10" s="107" t="s">
        <v>386</v>
      </c>
      <c r="B10" s="104" t="s">
        <v>360</v>
      </c>
      <c r="C10" s="105">
        <v>1</v>
      </c>
      <c r="D10" s="343"/>
      <c r="E10" s="349"/>
      <c r="F10" s="109"/>
      <c r="G10" s="108"/>
      <c r="H10" s="123"/>
      <c r="I10" s="100"/>
      <c r="J10" s="100"/>
      <c r="K10" s="100"/>
      <c r="L10" s="100">
        <f>1.1*L9</f>
        <v>643675.19189542485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5" ht="15.75">
      <c r="A11" s="115" t="s">
        <v>389</v>
      </c>
      <c r="B11" s="116" t="s">
        <v>360</v>
      </c>
      <c r="C11" s="117"/>
      <c r="D11" s="115">
        <f>SUM(D3:D10)</f>
        <v>460</v>
      </c>
      <c r="E11" s="115">
        <f>SUM(E3:E10)</f>
        <v>30</v>
      </c>
      <c r="F11" s="115">
        <f>SUM(F3:F10)</f>
        <v>0</v>
      </c>
      <c r="G11" s="115">
        <f>SUM(G3:G10)</f>
        <v>0</v>
      </c>
      <c r="H11" s="115">
        <f>SUM(H3:H10)</f>
        <v>0</v>
      </c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</row>
    <row r="12" spans="1:25" ht="15.75">
      <c r="A12" s="99" t="s">
        <v>390</v>
      </c>
      <c r="B12" s="106" t="s">
        <v>360</v>
      </c>
      <c r="C12" s="98"/>
      <c r="D12" s="99">
        <f>D11*0.1+D11</f>
        <v>506</v>
      </c>
      <c r="E12" s="99">
        <f>E11*0.1+E11</f>
        <v>33</v>
      </c>
      <c r="F12" s="99">
        <f>F11*0.1+F11</f>
        <v>0</v>
      </c>
      <c r="G12" s="99">
        <f>G11*0.1+G11</f>
        <v>0</v>
      </c>
      <c r="H12" s="99">
        <f>H11*0.1+H11</f>
        <v>0</v>
      </c>
      <c r="I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5" ht="15.75">
      <c r="A13" s="100" t="s">
        <v>392</v>
      </c>
      <c r="B13" s="100"/>
      <c r="C13" s="100"/>
      <c r="D13" s="118">
        <v>510</v>
      </c>
      <c r="E13" s="118">
        <v>35</v>
      </c>
      <c r="F13" s="118"/>
      <c r="G13" s="118"/>
      <c r="H13" s="100"/>
      <c r="I13" s="100"/>
      <c r="J13" s="100"/>
      <c r="K13" s="100"/>
      <c r="L13" s="100"/>
      <c r="M13" s="100"/>
      <c r="N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</row>
    <row r="14" spans="1:25">
      <c r="A14" s="100"/>
      <c r="B14" s="100"/>
      <c r="C14" s="100"/>
      <c r="D14" s="100"/>
      <c r="E14" s="100"/>
      <c r="F14" s="100"/>
      <c r="G14" s="100"/>
      <c r="H14" s="100" t="s">
        <v>470</v>
      </c>
      <c r="I14" s="100" t="s">
        <v>378</v>
      </c>
      <c r="J14" s="100"/>
      <c r="K14" s="100"/>
      <c r="L14" s="100"/>
      <c r="M14" s="100"/>
      <c r="N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1:25">
      <c r="A15" s="100"/>
      <c r="B15" s="100"/>
      <c r="C15" s="100"/>
      <c r="D15" s="113"/>
      <c r="E15" s="100"/>
      <c r="F15" s="100"/>
      <c r="G15" s="100"/>
      <c r="H15" s="100">
        <v>58</v>
      </c>
      <c r="I15" s="100">
        <v>30</v>
      </c>
      <c r="J15" s="100"/>
      <c r="K15" s="100"/>
      <c r="L15" s="100"/>
      <c r="M15" s="100"/>
      <c r="N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</row>
    <row r="16" spans="1:25" ht="15.75">
      <c r="A16" s="104" t="s">
        <v>391</v>
      </c>
      <c r="B16" s="99">
        <f>D12+E12+F12+G12</f>
        <v>539</v>
      </c>
      <c r="C16" s="100"/>
      <c r="D16" s="100"/>
      <c r="E16" s="100"/>
      <c r="F16" s="100"/>
      <c r="G16" s="100"/>
      <c r="H16" s="100">
        <v>35</v>
      </c>
      <c r="I16" s="100"/>
      <c r="J16" s="100"/>
      <c r="K16" s="100"/>
      <c r="L16" s="100"/>
      <c r="M16" s="100"/>
      <c r="N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>
      <c r="A17" s="100"/>
      <c r="B17" s="100"/>
      <c r="C17" s="100"/>
      <c r="D17" s="100"/>
      <c r="E17" s="100"/>
      <c r="F17" s="100"/>
      <c r="G17" s="100"/>
      <c r="H17" s="100">
        <v>1</v>
      </c>
      <c r="I17" s="100"/>
      <c r="J17" s="100"/>
      <c r="K17" s="100"/>
      <c r="L17" s="100"/>
      <c r="M17" s="100">
        <v>2247</v>
      </c>
      <c r="N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  <row r="18" spans="1:25">
      <c r="A18" s="100"/>
      <c r="B18" s="100"/>
      <c r="C18" s="100"/>
      <c r="D18" s="100"/>
      <c r="F18" s="100"/>
      <c r="G18" s="100"/>
      <c r="H18" s="100">
        <v>1</v>
      </c>
      <c r="I18" s="100"/>
      <c r="J18" s="100"/>
      <c r="K18" s="100"/>
      <c r="L18" s="100"/>
      <c r="M18" s="100"/>
      <c r="N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</row>
    <row r="19" spans="1:25" hidden="1">
      <c r="A19" s="269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1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</row>
    <row r="20" spans="1:25" ht="15.75" hidden="1" thickBot="1">
      <c r="A20" s="344" t="s">
        <v>438</v>
      </c>
      <c r="B20" s="345"/>
      <c r="C20" s="346"/>
      <c r="D20" s="267" t="s">
        <v>444</v>
      </c>
      <c r="E20" s="268">
        <f>11*20</f>
        <v>220</v>
      </c>
      <c r="F20" s="100"/>
      <c r="G20" s="100"/>
      <c r="H20" s="100"/>
      <c r="I20" s="100"/>
      <c r="J20" s="100"/>
      <c r="K20" s="100"/>
      <c r="L20" s="100"/>
      <c r="M20" s="272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</row>
    <row r="21" spans="1:25" hidden="1">
      <c r="A21" s="273" t="s">
        <v>439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27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</row>
    <row r="22" spans="1:25" hidden="1">
      <c r="A22" s="273" t="s">
        <v>440</v>
      </c>
      <c r="B22" s="100">
        <v>7</v>
      </c>
      <c r="C22" s="100">
        <v>11</v>
      </c>
      <c r="D22" s="100">
        <f>C22*B22</f>
        <v>77</v>
      </c>
      <c r="E22" s="100">
        <v>1700</v>
      </c>
      <c r="F22" s="100">
        <f>E22*D22</f>
        <v>130900</v>
      </c>
      <c r="G22" s="100"/>
      <c r="H22" s="100"/>
      <c r="I22" s="100"/>
      <c r="J22" s="100"/>
      <c r="K22" s="100"/>
      <c r="L22" s="100"/>
      <c r="M22" s="272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</row>
    <row r="23" spans="1:25" hidden="1">
      <c r="A23" s="273" t="s">
        <v>441</v>
      </c>
      <c r="B23" s="100">
        <v>12</v>
      </c>
      <c r="C23" s="100">
        <v>11</v>
      </c>
      <c r="D23" s="100">
        <f>C23*B23</f>
        <v>132</v>
      </c>
      <c r="E23" s="100">
        <v>380</v>
      </c>
      <c r="F23" s="100">
        <f>E23*D23</f>
        <v>50160</v>
      </c>
      <c r="G23" s="100"/>
      <c r="H23" s="100"/>
      <c r="I23" s="100"/>
      <c r="J23" s="100"/>
      <c r="K23" s="100"/>
      <c r="L23" s="100"/>
      <c r="M23" s="27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</row>
    <row r="24" spans="1:25" hidden="1">
      <c r="A24" s="273" t="s">
        <v>442</v>
      </c>
      <c r="B24" s="100">
        <v>7</v>
      </c>
      <c r="C24" s="100">
        <v>11</v>
      </c>
      <c r="D24" s="100">
        <f>C24*B24</f>
        <v>77</v>
      </c>
      <c r="E24" s="100">
        <v>40</v>
      </c>
      <c r="F24" s="100">
        <f>E24*D24</f>
        <v>3080</v>
      </c>
      <c r="G24" s="100"/>
      <c r="H24" s="100"/>
      <c r="I24" s="100"/>
      <c r="J24" s="100"/>
      <c r="K24" s="100"/>
      <c r="L24" s="100"/>
      <c r="M24" s="272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</row>
    <row r="25" spans="1:25" hidden="1">
      <c r="A25" s="273" t="s">
        <v>443</v>
      </c>
      <c r="B25" s="100">
        <v>6</v>
      </c>
      <c r="C25" s="100">
        <v>11</v>
      </c>
      <c r="D25" s="100">
        <f>B25*C25</f>
        <v>66</v>
      </c>
      <c r="E25" s="100">
        <v>350</v>
      </c>
      <c r="F25" s="100">
        <f>E25*D25</f>
        <v>23100</v>
      </c>
      <c r="G25" s="100"/>
      <c r="H25" s="100"/>
      <c r="I25" s="100"/>
      <c r="J25" s="100"/>
      <c r="K25" s="100"/>
      <c r="L25" s="100"/>
      <c r="M25" s="27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</row>
    <row r="26" spans="1:25" hidden="1">
      <c r="A26" s="273"/>
      <c r="B26" s="100"/>
      <c r="C26" s="100"/>
      <c r="D26" s="100"/>
      <c r="E26" s="100"/>
      <c r="F26" s="100">
        <f>SUM(F22:F25)</f>
        <v>207240</v>
      </c>
      <c r="G26" s="100"/>
      <c r="H26" s="100"/>
      <c r="I26" s="100"/>
      <c r="J26" s="100"/>
      <c r="K26" s="100"/>
      <c r="L26" s="100"/>
      <c r="M26" s="272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</row>
    <row r="27" spans="1:25" hidden="1">
      <c r="A27" s="273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27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5" hidden="1">
      <c r="A28" s="273" t="s">
        <v>445</v>
      </c>
      <c r="B28" s="100" t="s">
        <v>444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272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</row>
    <row r="29" spans="1:25" hidden="1">
      <c r="A29" s="273"/>
      <c r="B29" s="100">
        <f>21*20</f>
        <v>420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27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1:25" hidden="1">
      <c r="A30" s="273" t="s">
        <v>446</v>
      </c>
      <c r="B30" s="100">
        <f>10.7*20</f>
        <v>214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272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</row>
    <row r="31" spans="1:25" hidden="1">
      <c r="A31" s="273"/>
      <c r="B31" s="100">
        <f>3*20</f>
        <v>60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27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1:25" hidden="1">
      <c r="A32" s="273"/>
      <c r="B32" s="100">
        <f>5.4*15</f>
        <v>81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272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</row>
    <row r="33" spans="1:25" hidden="1">
      <c r="A33" s="273"/>
      <c r="B33" s="100">
        <f>12*4</f>
        <v>48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27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</row>
    <row r="34" spans="1:25" hidden="1">
      <c r="A34" s="273"/>
      <c r="B34" s="100">
        <f>8*15</f>
        <v>120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272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</row>
    <row r="35" spans="1:25" hidden="1">
      <c r="A35" s="273"/>
      <c r="B35" s="100">
        <f>8.2*15</f>
        <v>122.99999999999999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27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hidden="1">
      <c r="A36" s="273"/>
      <c r="B36" s="100">
        <f>19*7.25</f>
        <v>137.75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272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</row>
    <row r="37" spans="1:25" hidden="1">
      <c r="A37" s="273"/>
      <c r="B37" s="100">
        <f>5.4*5</f>
        <v>27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272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</row>
    <row r="38" spans="1:25" hidden="1">
      <c r="A38" s="273"/>
      <c r="B38" s="100">
        <f>3*5.4</f>
        <v>16.200000000000003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27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</row>
    <row r="39" spans="1:25" hidden="1">
      <c r="A39" s="273"/>
      <c r="B39" s="100">
        <f>6.5*7.5</f>
        <v>48.75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272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</row>
    <row r="40" spans="1:25" hidden="1">
      <c r="A40" s="273"/>
      <c r="B40" s="100">
        <v>220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27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</row>
    <row r="41" spans="1:25" ht="15.75" hidden="1" thickBot="1">
      <c r="A41" s="274"/>
      <c r="B41" s="275">
        <f>SUM(B29:B40)</f>
        <v>1515.7</v>
      </c>
      <c r="C41" s="275">
        <f>H26*B41</f>
        <v>0</v>
      </c>
      <c r="D41" s="275">
        <f>B41*I26</f>
        <v>0</v>
      </c>
      <c r="E41" s="275"/>
      <c r="F41" s="275"/>
      <c r="G41" s="275"/>
      <c r="H41" s="275"/>
      <c r="I41" s="275"/>
      <c r="J41" s="275"/>
      <c r="K41" s="275"/>
      <c r="L41" s="275"/>
      <c r="M41" s="276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</row>
    <row r="42" spans="1:25">
      <c r="A42" s="100"/>
      <c r="B42" s="100"/>
      <c r="C42" s="100"/>
      <c r="D42" s="100"/>
      <c r="E42" s="100"/>
      <c r="F42" s="100"/>
      <c r="G42" s="100"/>
      <c r="H42" s="100">
        <v>40</v>
      </c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</row>
    <row r="43" spans="1:25">
      <c r="A43" s="100">
        <v>1.7</v>
      </c>
      <c r="B43" s="100">
        <v>1.8</v>
      </c>
      <c r="C43" s="100">
        <f>A43*B43</f>
        <v>3.06</v>
      </c>
      <c r="D43" s="100"/>
      <c r="E43" s="100"/>
      <c r="F43" s="100"/>
      <c r="G43" s="100"/>
      <c r="H43" s="100">
        <v>40</v>
      </c>
      <c r="I43" s="100"/>
      <c r="J43" s="100"/>
      <c r="K43" s="100"/>
      <c r="L43" s="100"/>
      <c r="M43" s="100" t="s">
        <v>427</v>
      </c>
      <c r="N43" s="100"/>
      <c r="O43" s="100" t="s">
        <v>464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</row>
    <row r="44" spans="1:25">
      <c r="A44" s="100"/>
      <c r="B44" s="100"/>
      <c r="C44" s="100"/>
      <c r="D44" s="100"/>
      <c r="E44" s="100"/>
      <c r="F44" s="100"/>
      <c r="G44" s="100"/>
      <c r="H44" s="100">
        <v>40</v>
      </c>
      <c r="I44" s="100"/>
      <c r="J44" s="100"/>
      <c r="K44" s="100"/>
      <c r="L44" s="100"/>
      <c r="M44" s="101" t="s">
        <v>428</v>
      </c>
      <c r="N44" s="100"/>
      <c r="O44" s="100" t="s">
        <v>465</v>
      </c>
      <c r="P44" s="100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1:25">
      <c r="A45" s="100"/>
      <c r="B45" s="100"/>
      <c r="C45" s="100"/>
      <c r="D45" s="100"/>
      <c r="E45" s="100"/>
      <c r="F45" s="100"/>
      <c r="G45" s="100"/>
      <c r="H45" s="100">
        <v>50</v>
      </c>
      <c r="I45" s="100"/>
      <c r="J45" s="100"/>
      <c r="K45" s="100"/>
      <c r="L45" s="100"/>
      <c r="M45" s="100" t="s">
        <v>430</v>
      </c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</row>
    <row r="46" spans="1:25">
      <c r="A46" s="100"/>
      <c r="B46" s="100"/>
      <c r="C46" s="100"/>
      <c r="D46" s="100"/>
      <c r="E46" s="100"/>
      <c r="F46" s="100"/>
      <c r="G46" s="100"/>
      <c r="H46" s="100">
        <v>75</v>
      </c>
      <c r="I46" s="100"/>
      <c r="J46" s="100"/>
      <c r="K46" s="100"/>
      <c r="L46" s="100"/>
      <c r="M46" s="100" t="s">
        <v>431</v>
      </c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</row>
    <row r="47" spans="1:25">
      <c r="A47" s="100"/>
      <c r="B47" s="100"/>
      <c r="C47" s="100"/>
      <c r="D47" s="100"/>
      <c r="E47" s="100"/>
      <c r="F47" s="100"/>
      <c r="G47" s="100"/>
      <c r="H47" s="100">
        <v>5</v>
      </c>
      <c r="I47" s="100"/>
      <c r="J47" s="100"/>
      <c r="K47" s="100"/>
      <c r="L47" s="100"/>
      <c r="M47" s="100" t="s">
        <v>459</v>
      </c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</row>
    <row r="48" spans="1:25">
      <c r="A48" s="100" t="s">
        <v>447</v>
      </c>
      <c r="B48" s="100"/>
      <c r="C48" s="100"/>
      <c r="D48" s="100"/>
      <c r="E48" s="100"/>
      <c r="F48" s="100"/>
      <c r="G48" s="100"/>
      <c r="H48" s="100">
        <v>5</v>
      </c>
      <c r="I48" s="100"/>
      <c r="K48" s="100"/>
      <c r="L48" s="100"/>
      <c r="M48" s="100" t="s">
        <v>432</v>
      </c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</row>
    <row r="49" spans="1:25">
      <c r="A49" s="100"/>
      <c r="B49" s="100" t="s">
        <v>98</v>
      </c>
      <c r="C49" s="100" t="s">
        <v>451</v>
      </c>
      <c r="D49" s="100" t="s">
        <v>454</v>
      </c>
      <c r="E49" s="100"/>
      <c r="F49" s="100"/>
      <c r="G49" s="100"/>
      <c r="H49" s="100">
        <v>30</v>
      </c>
      <c r="I49" s="100"/>
      <c r="J49" s="100"/>
      <c r="K49" s="100"/>
      <c r="L49" s="100"/>
      <c r="M49" s="100" t="s">
        <v>429</v>
      </c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</row>
    <row r="50" spans="1:25">
      <c r="A50" s="100" t="s">
        <v>448</v>
      </c>
      <c r="B50" s="100">
        <f>13*20*2</f>
        <v>520</v>
      </c>
      <c r="C50" s="277">
        <f>B50/6</f>
        <v>86.666666666666671</v>
      </c>
      <c r="D50" s="100">
        <v>900</v>
      </c>
      <c r="E50" s="100">
        <f>D50*C50</f>
        <v>78000</v>
      </c>
      <c r="F50" s="100"/>
      <c r="G50" s="100"/>
      <c r="H50" s="100">
        <v>6</v>
      </c>
      <c r="I50" s="100"/>
      <c r="J50" s="100"/>
      <c r="K50" s="100"/>
      <c r="L50" s="100"/>
      <c r="M50" s="100" t="s">
        <v>460</v>
      </c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</row>
    <row r="51" spans="1:25">
      <c r="A51" s="100" t="s">
        <v>449</v>
      </c>
      <c r="B51" s="100">
        <f>2*11*20</f>
        <v>440</v>
      </c>
      <c r="C51" s="277">
        <f t="shared" ref="C51:C52" si="2">B51/6</f>
        <v>73.333333333333329</v>
      </c>
      <c r="D51" s="100">
        <v>900</v>
      </c>
      <c r="E51" s="100">
        <f t="shared" ref="E51:E52" si="3">D51*C51</f>
        <v>66000</v>
      </c>
      <c r="F51" s="100"/>
      <c r="G51" s="100"/>
      <c r="H51" s="100">
        <v>1</v>
      </c>
      <c r="I51" s="100"/>
      <c r="J51" s="100"/>
      <c r="K51" s="100"/>
      <c r="L51" s="100"/>
      <c r="M51" s="100" t="s">
        <v>461</v>
      </c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</row>
    <row r="52" spans="1:25">
      <c r="A52" s="100" t="s">
        <v>450</v>
      </c>
      <c r="B52" s="100">
        <f>143*1.5*2</f>
        <v>429</v>
      </c>
      <c r="C52" s="277">
        <f t="shared" si="2"/>
        <v>71.5</v>
      </c>
      <c r="D52" s="100">
        <v>900</v>
      </c>
      <c r="E52" s="100">
        <f t="shared" si="3"/>
        <v>64350</v>
      </c>
      <c r="F52" s="100"/>
      <c r="G52" s="100"/>
      <c r="H52" s="100">
        <v>1</v>
      </c>
      <c r="I52" s="100"/>
      <c r="J52" s="100"/>
      <c r="K52" s="100"/>
      <c r="L52" s="100"/>
      <c r="M52" s="100" t="s">
        <v>462</v>
      </c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</row>
    <row r="53" spans="1:25">
      <c r="A53" s="100"/>
      <c r="B53" s="100"/>
      <c r="C53" s="277">
        <f>SUM(C50:C52)</f>
        <v>231.5</v>
      </c>
      <c r="D53" s="100"/>
      <c r="E53" s="100">
        <f>SUM(E50:E52)</f>
        <v>208350</v>
      </c>
      <c r="F53" s="100"/>
      <c r="G53" s="100"/>
      <c r="H53" s="100">
        <v>1</v>
      </c>
      <c r="I53" s="100"/>
      <c r="J53" s="100"/>
      <c r="K53" s="100"/>
      <c r="L53" s="100"/>
      <c r="M53" s="100" t="s">
        <v>463</v>
      </c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</row>
    <row r="54" spans="1:25">
      <c r="A54" s="100" t="s">
        <v>452</v>
      </c>
      <c r="B54" s="100" t="s">
        <v>453</v>
      </c>
      <c r="C54" s="100" t="s">
        <v>454</v>
      </c>
      <c r="D54" s="100"/>
      <c r="E54" s="100"/>
      <c r="F54" s="100"/>
      <c r="G54" s="100"/>
      <c r="H54" s="100">
        <v>1</v>
      </c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</row>
    <row r="55" spans="1:25">
      <c r="A55" s="100"/>
      <c r="B55" s="100">
        <v>256</v>
      </c>
      <c r="C55" s="100">
        <v>75</v>
      </c>
      <c r="D55" s="100">
        <f>C55*B55</f>
        <v>19200</v>
      </c>
      <c r="E55" s="100"/>
      <c r="F55" s="100"/>
      <c r="G55" s="100"/>
      <c r="H55" s="100">
        <v>70</v>
      </c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</row>
    <row r="56" spans="1: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</row>
    <row r="57" spans="1:25">
      <c r="A57" s="100" t="s">
        <v>455</v>
      </c>
      <c r="B57" s="101" t="s">
        <v>98</v>
      </c>
      <c r="C57" s="100" t="s">
        <v>456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</row>
    <row r="58" spans="1:25">
      <c r="A58" s="100"/>
      <c r="B58" s="101">
        <f>20*7</f>
        <v>140</v>
      </c>
      <c r="C58" s="100">
        <v>175</v>
      </c>
      <c r="D58" s="100">
        <f>C58*B58</f>
        <v>24500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</row>
    <row r="59" spans="1: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</row>
    <row r="60" spans="1:25">
      <c r="A60" s="100"/>
      <c r="B60" s="100"/>
      <c r="C60" s="100"/>
      <c r="D60" s="279">
        <f>D58+D55+E53</f>
        <v>252050</v>
      </c>
      <c r="E60" s="100"/>
      <c r="F60" s="100">
        <f>20*20</f>
        <v>400</v>
      </c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</row>
    <row r="61" spans="1:25">
      <c r="A61" s="100"/>
      <c r="B61" s="100"/>
      <c r="C61" s="100"/>
      <c r="D61" s="100"/>
      <c r="E61" s="100"/>
      <c r="F61" s="100">
        <f>D60/F60</f>
        <v>630.125</v>
      </c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</row>
    <row r="62" spans="1: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</row>
    <row r="63" spans="1: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</row>
    <row r="64" spans="1:25">
      <c r="A64" s="100" t="s">
        <v>468</v>
      </c>
      <c r="B64" s="100"/>
      <c r="C64" s="100"/>
      <c r="D64" s="100"/>
      <c r="E64" s="100"/>
      <c r="F64" s="100"/>
      <c r="G64" s="100"/>
      <c r="H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</row>
    <row r="65" spans="1:25">
      <c r="A65" s="100" t="s">
        <v>467</v>
      </c>
      <c r="B65" s="100">
        <v>900</v>
      </c>
      <c r="C65" s="100"/>
      <c r="D65" s="100"/>
      <c r="E65" s="100"/>
      <c r="F65" s="100"/>
      <c r="G65" s="100"/>
      <c r="H65" s="100"/>
      <c r="I65" s="100"/>
      <c r="J65" s="100"/>
      <c r="K65" s="100">
        <f>H15</f>
        <v>58</v>
      </c>
      <c r="L65" s="100">
        <f>I15</f>
        <v>30</v>
      </c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</row>
    <row r="66" spans="1:25">
      <c r="A66" s="100" t="s">
        <v>452</v>
      </c>
      <c r="B66" s="100">
        <v>75</v>
      </c>
      <c r="C66" s="100"/>
      <c r="D66" s="100"/>
      <c r="E66" s="100"/>
      <c r="F66" s="100"/>
      <c r="G66" s="100"/>
      <c r="H66" s="100"/>
      <c r="I66" s="100"/>
      <c r="J66" s="100"/>
      <c r="K66" s="100">
        <f t="shared" ref="K66:L67" si="4">H16</f>
        <v>35</v>
      </c>
      <c r="L66" s="100">
        <f t="shared" si="4"/>
        <v>0</v>
      </c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</row>
    <row r="67" spans="1:25">
      <c r="A67" s="100" t="s">
        <v>455</v>
      </c>
      <c r="B67" s="100">
        <f>180*3</f>
        <v>540</v>
      </c>
      <c r="C67" s="100"/>
      <c r="D67" s="100"/>
      <c r="E67" s="100"/>
      <c r="F67" s="100"/>
      <c r="G67" s="100"/>
      <c r="H67" s="100"/>
      <c r="I67" s="100"/>
      <c r="J67" s="100"/>
      <c r="K67" s="100">
        <f t="shared" si="4"/>
        <v>1</v>
      </c>
      <c r="L67" s="100">
        <f t="shared" si="4"/>
        <v>0</v>
      </c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</row>
    <row r="68" spans="1:2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>
        <f>H18</f>
        <v>1</v>
      </c>
      <c r="L68" s="100">
        <f>I18</f>
        <v>0</v>
      </c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</row>
    <row r="69" spans="1: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>
        <f>H42</f>
        <v>40</v>
      </c>
      <c r="L69" s="100">
        <f>I42</f>
        <v>0</v>
      </c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</row>
    <row r="70" spans="1:25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>
        <f t="shared" ref="K70:L94" si="5">H43</f>
        <v>40</v>
      </c>
      <c r="L70" s="100">
        <f t="shared" si="5"/>
        <v>0</v>
      </c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</row>
    <row r="71" spans="1:25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>
        <f t="shared" si="5"/>
        <v>40</v>
      </c>
      <c r="L71" s="100">
        <f t="shared" si="5"/>
        <v>0</v>
      </c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</row>
    <row r="72" spans="1: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>
        <f t="shared" si="5"/>
        <v>50</v>
      </c>
      <c r="L72" s="100">
        <f t="shared" si="5"/>
        <v>0</v>
      </c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</row>
    <row r="73" spans="1: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>
        <f t="shared" si="5"/>
        <v>75</v>
      </c>
      <c r="L73" s="100">
        <f t="shared" si="5"/>
        <v>0</v>
      </c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</row>
    <row r="74" spans="1:25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>
        <f t="shared" si="5"/>
        <v>5</v>
      </c>
      <c r="L74" s="100">
        <f t="shared" si="5"/>
        <v>0</v>
      </c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</row>
    <row r="75" spans="1:25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>
        <f t="shared" si="5"/>
        <v>5</v>
      </c>
      <c r="L75" s="100">
        <f t="shared" si="5"/>
        <v>0</v>
      </c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</row>
    <row r="76" spans="1:25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>
        <f t="shared" si="5"/>
        <v>30</v>
      </c>
      <c r="L76" s="100">
        <f t="shared" si="5"/>
        <v>0</v>
      </c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</row>
    <row r="77" spans="1:25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>
        <f t="shared" si="5"/>
        <v>6</v>
      </c>
      <c r="L77" s="100">
        <f t="shared" si="5"/>
        <v>0</v>
      </c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</row>
    <row r="78" spans="1:25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>
        <f t="shared" si="5"/>
        <v>1</v>
      </c>
      <c r="L78" s="100">
        <f t="shared" si="5"/>
        <v>0</v>
      </c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</row>
    <row r="79" spans="1:25">
      <c r="K79" s="100">
        <f t="shared" si="5"/>
        <v>1</v>
      </c>
      <c r="L79" s="100">
        <f t="shared" si="5"/>
        <v>0</v>
      </c>
    </row>
    <row r="80" spans="1:25">
      <c r="K80" s="100">
        <f t="shared" si="5"/>
        <v>1</v>
      </c>
      <c r="L80" s="100">
        <f t="shared" si="5"/>
        <v>0</v>
      </c>
    </row>
    <row r="81" spans="11:12">
      <c r="K81" s="100">
        <f t="shared" si="5"/>
        <v>1</v>
      </c>
      <c r="L81" s="100">
        <f t="shared" si="5"/>
        <v>0</v>
      </c>
    </row>
    <row r="82" spans="11:12">
      <c r="K82" s="100">
        <f t="shared" si="5"/>
        <v>70</v>
      </c>
      <c r="L82" s="100">
        <f t="shared" si="5"/>
        <v>0</v>
      </c>
    </row>
    <row r="83" spans="11:12">
      <c r="K83" s="100">
        <f t="shared" si="5"/>
        <v>0</v>
      </c>
      <c r="L83" s="100">
        <f t="shared" si="5"/>
        <v>0</v>
      </c>
    </row>
    <row r="84" spans="11:12">
      <c r="K84" s="100">
        <f t="shared" si="5"/>
        <v>0</v>
      </c>
      <c r="L84" s="100">
        <f t="shared" si="5"/>
        <v>0</v>
      </c>
    </row>
    <row r="85" spans="11:12">
      <c r="K85" s="100">
        <f t="shared" si="5"/>
        <v>0</v>
      </c>
      <c r="L85" s="100">
        <f t="shared" si="5"/>
        <v>0</v>
      </c>
    </row>
    <row r="86" spans="11:12">
      <c r="K86" s="100">
        <f t="shared" si="5"/>
        <v>0</v>
      </c>
      <c r="L86" s="100">
        <f t="shared" si="5"/>
        <v>0</v>
      </c>
    </row>
    <row r="87" spans="11:12">
      <c r="K87" s="100">
        <f t="shared" si="5"/>
        <v>0</v>
      </c>
      <c r="L87" s="100">
        <f t="shared" si="5"/>
        <v>0</v>
      </c>
    </row>
    <row r="88" spans="11:12">
      <c r="K88" s="100">
        <f t="shared" si="5"/>
        <v>0</v>
      </c>
      <c r="L88" s="100">
        <f t="shared" si="5"/>
        <v>0</v>
      </c>
    </row>
    <row r="89" spans="11:12">
      <c r="K89" s="100">
        <f t="shared" si="5"/>
        <v>0</v>
      </c>
      <c r="L89" s="100">
        <f t="shared" si="5"/>
        <v>0</v>
      </c>
    </row>
    <row r="90" spans="11:12">
      <c r="K90" s="100">
        <f t="shared" si="5"/>
        <v>0</v>
      </c>
      <c r="L90" s="100">
        <f t="shared" si="5"/>
        <v>0</v>
      </c>
    </row>
    <row r="91" spans="11:12">
      <c r="K91" s="100">
        <f t="shared" si="5"/>
        <v>0</v>
      </c>
      <c r="L91" s="100">
        <f t="shared" si="5"/>
        <v>0</v>
      </c>
    </row>
    <row r="92" spans="11:12">
      <c r="K92" s="100">
        <f t="shared" si="5"/>
        <v>0</v>
      </c>
      <c r="L92" s="100">
        <f t="shared" si="5"/>
        <v>0</v>
      </c>
    </row>
    <row r="93" spans="11:12">
      <c r="K93" s="100">
        <f t="shared" si="5"/>
        <v>0</v>
      </c>
      <c r="L93" s="100">
        <f t="shared" si="5"/>
        <v>0</v>
      </c>
    </row>
    <row r="94" spans="11:12">
      <c r="K94" s="100">
        <f t="shared" si="5"/>
        <v>0</v>
      </c>
      <c r="L94" s="100">
        <f t="shared" si="5"/>
        <v>0</v>
      </c>
    </row>
    <row r="95" spans="11:12">
      <c r="K95" s="100"/>
      <c r="L95" s="100">
        <f t="shared" ref="L95:L103" si="6">I68</f>
        <v>0</v>
      </c>
    </row>
    <row r="96" spans="11:12">
      <c r="K96" s="100"/>
      <c r="L96" s="100">
        <f t="shared" si="6"/>
        <v>0</v>
      </c>
    </row>
    <row r="97" spans="11:12">
      <c r="K97" s="100"/>
      <c r="L97" s="100">
        <f t="shared" si="6"/>
        <v>0</v>
      </c>
    </row>
    <row r="98" spans="11:12">
      <c r="K98" s="100"/>
      <c r="L98" s="100">
        <f t="shared" si="6"/>
        <v>0</v>
      </c>
    </row>
    <row r="99" spans="11:12">
      <c r="K99" s="100"/>
      <c r="L99" s="100">
        <f t="shared" si="6"/>
        <v>0</v>
      </c>
    </row>
    <row r="100" spans="11:12">
      <c r="K100" s="100"/>
      <c r="L100" s="100">
        <f t="shared" si="6"/>
        <v>0</v>
      </c>
    </row>
    <row r="101" spans="11:12">
      <c r="K101" s="100"/>
      <c r="L101" s="100">
        <f t="shared" si="6"/>
        <v>0</v>
      </c>
    </row>
    <row r="102" spans="11:12">
      <c r="K102" s="100"/>
      <c r="L102" s="100">
        <f t="shared" si="6"/>
        <v>0</v>
      </c>
    </row>
    <row r="103" spans="11:12">
      <c r="K103" s="100"/>
      <c r="L103" s="100">
        <f t="shared" si="6"/>
        <v>0</v>
      </c>
    </row>
    <row r="104" spans="11:12">
      <c r="K104" s="100"/>
      <c r="L104" s="100"/>
    </row>
    <row r="105" spans="11:12">
      <c r="K105" s="100"/>
    </row>
    <row r="106" spans="11:12">
      <c r="K106" s="100">
        <f>SUM(K65:K94)</f>
        <v>460</v>
      </c>
      <c r="L106" s="100">
        <f>SUM(L65:L105)</f>
        <v>30</v>
      </c>
    </row>
    <row r="107" spans="11:12">
      <c r="K107" s="100"/>
    </row>
    <row r="108" spans="11:12">
      <c r="K108" s="100"/>
    </row>
    <row r="109" spans="11:12">
      <c r="K109" s="100"/>
    </row>
    <row r="110" spans="11:12">
      <c r="K110" s="100"/>
    </row>
    <row r="111" spans="11:12">
      <c r="K111" s="100"/>
    </row>
    <row r="112" spans="11:12">
      <c r="K112" s="100"/>
    </row>
    <row r="113" spans="11:11">
      <c r="K113" s="100"/>
    </row>
    <row r="114" spans="11:11">
      <c r="K114" s="100"/>
    </row>
    <row r="115" spans="11:11">
      <c r="K115" s="100"/>
    </row>
    <row r="116" spans="11:11">
      <c r="K116" s="100"/>
    </row>
    <row r="117" spans="11:11">
      <c r="K117" s="100"/>
    </row>
    <row r="118" spans="11:11">
      <c r="K118" s="100"/>
    </row>
    <row r="119" spans="11:11">
      <c r="K119" s="100"/>
    </row>
    <row r="120" spans="11:11">
      <c r="K120" s="100"/>
    </row>
    <row r="121" spans="11:11">
      <c r="K121" s="100"/>
    </row>
    <row r="122" spans="11:11">
      <c r="K122" s="100"/>
    </row>
    <row r="123" spans="11:11">
      <c r="K123" s="100"/>
    </row>
    <row r="124" spans="11:11">
      <c r="K124" s="100"/>
    </row>
    <row r="125" spans="11:11">
      <c r="K125" s="100"/>
    </row>
    <row r="126" spans="11:11">
      <c r="K126" s="100"/>
    </row>
    <row r="127" spans="11:11">
      <c r="K127" s="100"/>
    </row>
    <row r="128" spans="11:11">
      <c r="K128" s="100"/>
    </row>
    <row r="129" spans="11:11">
      <c r="K129" s="100"/>
    </row>
    <row r="130" spans="11:11">
      <c r="K130" s="100"/>
    </row>
    <row r="131" spans="11:11">
      <c r="K131" s="100"/>
    </row>
    <row r="132" spans="11:11">
      <c r="K132" s="100"/>
    </row>
    <row r="133" spans="11:11">
      <c r="K133" s="100"/>
    </row>
    <row r="134" spans="11:11">
      <c r="K134" s="100"/>
    </row>
    <row r="135" spans="11:11">
      <c r="K135" s="100"/>
    </row>
    <row r="136" spans="11:11">
      <c r="K136" s="100"/>
    </row>
    <row r="137" spans="11:11">
      <c r="K137" s="100"/>
    </row>
    <row r="138" spans="11:11">
      <c r="K138" s="100"/>
    </row>
    <row r="139" spans="11:11">
      <c r="K139" s="100"/>
    </row>
    <row r="140" spans="11:11">
      <c r="K140" s="100"/>
    </row>
    <row r="141" spans="11:11">
      <c r="K141" s="100"/>
    </row>
    <row r="142" spans="11:11">
      <c r="K142" s="100"/>
    </row>
    <row r="143" spans="11:11">
      <c r="K143" s="100"/>
    </row>
    <row r="144" spans="11:11">
      <c r="K144" s="100"/>
    </row>
    <row r="145" spans="11:11">
      <c r="K145" s="100"/>
    </row>
    <row r="146" spans="11:11">
      <c r="K146" s="100"/>
    </row>
    <row r="147" spans="11:11">
      <c r="K147" s="100"/>
    </row>
    <row r="148" spans="11:11">
      <c r="K148" s="100"/>
    </row>
    <row r="149" spans="11:11">
      <c r="K149" s="100"/>
    </row>
    <row r="150" spans="11:11">
      <c r="K150" s="100"/>
    </row>
    <row r="151" spans="11:11">
      <c r="K151" s="100"/>
    </row>
    <row r="152" spans="11:11">
      <c r="K152" s="100"/>
    </row>
    <row r="153" spans="11:11">
      <c r="K153" s="100"/>
    </row>
    <row r="154" spans="11:11">
      <c r="K154" s="100"/>
    </row>
    <row r="155" spans="11:11">
      <c r="K155" s="100"/>
    </row>
    <row r="156" spans="11:11">
      <c r="K156" s="100"/>
    </row>
    <row r="157" spans="11:11">
      <c r="K157" s="100"/>
    </row>
    <row r="158" spans="11:11">
      <c r="K158" s="100"/>
    </row>
    <row r="159" spans="11:11">
      <c r="K159" s="100"/>
    </row>
    <row r="160" spans="11:11">
      <c r="K160" s="100"/>
    </row>
    <row r="161" spans="11:11">
      <c r="K161" s="100"/>
    </row>
    <row r="162" spans="11:11">
      <c r="K162" s="100"/>
    </row>
    <row r="163" spans="11:11">
      <c r="K163" s="100"/>
    </row>
    <row r="164" spans="11:11">
      <c r="K164" s="100"/>
    </row>
    <row r="165" spans="11:11">
      <c r="K165" s="100"/>
    </row>
    <row r="166" spans="11:11">
      <c r="K166" s="100"/>
    </row>
    <row r="167" spans="11:11">
      <c r="K167" s="100"/>
    </row>
    <row r="168" spans="11:11">
      <c r="K168" s="100"/>
    </row>
    <row r="169" spans="11:11">
      <c r="K169" s="100"/>
    </row>
    <row r="170" spans="11:11">
      <c r="K170" s="100"/>
    </row>
    <row r="171" spans="11:11">
      <c r="K171" s="100"/>
    </row>
    <row r="172" spans="11:11">
      <c r="K172" s="100"/>
    </row>
    <row r="173" spans="11:11">
      <c r="K173" s="100"/>
    </row>
    <row r="174" spans="11:11">
      <c r="K174" s="100"/>
    </row>
    <row r="175" spans="11:11">
      <c r="K175" s="100"/>
    </row>
    <row r="176" spans="11:11">
      <c r="K176" s="100"/>
    </row>
    <row r="177" spans="11:11">
      <c r="K177" s="100"/>
    </row>
    <row r="178" spans="11:11">
      <c r="K178" s="100"/>
    </row>
    <row r="179" spans="11:11">
      <c r="K179" s="100"/>
    </row>
    <row r="180" spans="11:11">
      <c r="K180" s="100"/>
    </row>
    <row r="181" spans="11:11">
      <c r="K181" s="100"/>
    </row>
    <row r="182" spans="11:11">
      <c r="K182" s="100"/>
    </row>
    <row r="183" spans="11:11">
      <c r="K183" s="100"/>
    </row>
    <row r="184" spans="11:11">
      <c r="K184" s="100"/>
    </row>
    <row r="185" spans="11:11">
      <c r="K185" s="100"/>
    </row>
    <row r="186" spans="11:11">
      <c r="K186" s="100"/>
    </row>
    <row r="187" spans="11:11">
      <c r="K187" s="100"/>
    </row>
    <row r="188" spans="11:11">
      <c r="K188" s="100"/>
    </row>
    <row r="189" spans="11:11">
      <c r="K189" s="100"/>
    </row>
    <row r="190" spans="11:11">
      <c r="K190" s="100"/>
    </row>
    <row r="191" spans="11:11">
      <c r="K191" s="100"/>
    </row>
  </sheetData>
  <mergeCells count="4">
    <mergeCell ref="A1:G1"/>
    <mergeCell ref="D3:D10"/>
    <mergeCell ref="A20:C20"/>
    <mergeCell ref="E3:E10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65F36-5883-4C1A-843F-D73E3FA48B4B}">
  <dimension ref="A1:Y191"/>
  <sheetViews>
    <sheetView workbookViewId="0">
      <selection activeCell="F56" sqref="F56"/>
    </sheetView>
  </sheetViews>
  <sheetFormatPr defaultColWidth="9.140625" defaultRowHeight="15"/>
  <cols>
    <col min="1" max="1" width="13.7109375" style="101" customWidth="1"/>
    <col min="2" max="2" width="12.7109375" style="101" customWidth="1"/>
    <col min="3" max="3" width="13.5703125" style="101" bestFit="1" customWidth="1"/>
    <col min="4" max="4" width="9.5703125" style="101" bestFit="1" customWidth="1"/>
    <col min="5" max="13" width="9.140625" style="101"/>
    <col min="14" max="14" width="16" style="101" customWidth="1"/>
    <col min="15" max="15" width="18.85546875" style="101" customWidth="1"/>
    <col min="16" max="16" width="19.140625" style="101" customWidth="1"/>
    <col min="17" max="16384" width="9.140625" style="101"/>
  </cols>
  <sheetData>
    <row r="1" spans="1:25" ht="15.75">
      <c r="A1" s="339" t="s">
        <v>469</v>
      </c>
      <c r="B1" s="340"/>
      <c r="C1" s="340"/>
      <c r="D1" s="340"/>
      <c r="E1" s="340"/>
      <c r="F1" s="340"/>
      <c r="G1" s="34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ht="15.75">
      <c r="A2" s="102" t="s">
        <v>376</v>
      </c>
      <c r="B2" s="102" t="s">
        <v>380</v>
      </c>
      <c r="C2" s="103" t="s">
        <v>180</v>
      </c>
      <c r="D2" s="122" t="s">
        <v>377</v>
      </c>
      <c r="E2" s="121" t="s">
        <v>378</v>
      </c>
      <c r="F2" s="120" t="s">
        <v>379</v>
      </c>
      <c r="G2" s="119" t="s">
        <v>387</v>
      </c>
      <c r="H2" s="118" t="s">
        <v>375</v>
      </c>
      <c r="I2" s="100"/>
      <c r="J2" s="100"/>
      <c r="K2" s="100"/>
      <c r="L2" s="100"/>
      <c r="M2" s="100"/>
      <c r="N2" s="100"/>
      <c r="O2" s="100"/>
      <c r="P2" s="100">
        <v>1427789.4000000001</v>
      </c>
      <c r="Q2" s="100"/>
      <c r="R2" s="100">
        <f>164.28*2</f>
        <v>328.56</v>
      </c>
      <c r="S2" s="100"/>
      <c r="T2" s="100"/>
      <c r="U2" s="100"/>
      <c r="V2" s="100"/>
      <c r="W2" s="100"/>
      <c r="X2" s="100"/>
      <c r="Y2" s="100"/>
    </row>
    <row r="3" spans="1:25">
      <c r="A3" s="107" t="s">
        <v>381</v>
      </c>
      <c r="B3" s="104" t="s">
        <v>360</v>
      </c>
      <c r="C3" s="105">
        <v>1</v>
      </c>
      <c r="D3" s="341">
        <f>+K106+L106</f>
        <v>306.25</v>
      </c>
      <c r="E3" s="110"/>
      <c r="F3" s="109"/>
      <c r="G3" s="108"/>
      <c r="H3" s="123"/>
      <c r="I3" s="100"/>
      <c r="J3" s="100">
        <v>31.71</v>
      </c>
      <c r="K3" s="100" t="s">
        <v>433</v>
      </c>
      <c r="L3" s="100"/>
      <c r="M3" s="100">
        <f>J3/J7</f>
        <v>6.6490253967188925E-2</v>
      </c>
      <c r="N3" s="100">
        <f>P3*M3</f>
        <v>94934.079817660298</v>
      </c>
      <c r="O3" s="278">
        <f>Q3*M3</f>
        <v>59841.228570470033</v>
      </c>
      <c r="P3" s="100">
        <v>1427789.4000000001</v>
      </c>
      <c r="Q3" s="100">
        <v>900000</v>
      </c>
      <c r="R3" s="100">
        <f>61.06*2</f>
        <v>122.12</v>
      </c>
      <c r="S3" s="100"/>
      <c r="T3" s="100"/>
      <c r="U3" s="100"/>
      <c r="V3" s="100"/>
      <c r="W3" s="100"/>
      <c r="X3" s="100"/>
      <c r="Y3" s="100"/>
    </row>
    <row r="4" spans="1:25">
      <c r="A4" s="107" t="s">
        <v>382</v>
      </c>
      <c r="B4" s="104" t="s">
        <v>360</v>
      </c>
      <c r="C4" s="105">
        <v>1</v>
      </c>
      <c r="D4" s="342"/>
      <c r="E4" s="110"/>
      <c r="F4" s="109"/>
      <c r="G4" s="108"/>
      <c r="H4" s="123"/>
      <c r="I4" s="100"/>
      <c r="J4" s="100">
        <f>D11+E9+G11</f>
        <v>306.25</v>
      </c>
      <c r="K4" s="100" t="s">
        <v>434</v>
      </c>
      <c r="L4" s="100"/>
      <c r="M4" s="100">
        <f>J4/J7</f>
        <v>0.64215201127251986</v>
      </c>
      <c r="N4" s="100">
        <f t="shared" ref="N4:N6" si="0">P4*M4</f>
        <v>916857.83488358441</v>
      </c>
      <c r="O4" s="278">
        <f>Q4*M4</f>
        <v>577936.81014526787</v>
      </c>
      <c r="P4" s="100">
        <v>1427789.4000000001</v>
      </c>
      <c r="Q4" s="100">
        <v>900000</v>
      </c>
      <c r="R4" s="100">
        <f>70*2</f>
        <v>140</v>
      </c>
      <c r="S4" s="100"/>
      <c r="T4" s="100"/>
      <c r="U4" s="100"/>
      <c r="V4" s="100"/>
      <c r="W4" s="100"/>
      <c r="X4" s="100"/>
      <c r="Y4" s="100"/>
    </row>
    <row r="5" spans="1:25">
      <c r="A5" s="107" t="s">
        <v>383</v>
      </c>
      <c r="B5" s="104" t="s">
        <v>360</v>
      </c>
      <c r="C5" s="105">
        <v>1</v>
      </c>
      <c r="D5" s="342"/>
      <c r="E5" s="110"/>
      <c r="F5" s="109"/>
      <c r="G5" s="108"/>
      <c r="H5" s="123"/>
      <c r="I5" s="100"/>
      <c r="J5" s="100">
        <f>126.32*1.1</f>
        <v>138.952</v>
      </c>
      <c r="K5" s="100" t="s">
        <v>435</v>
      </c>
      <c r="L5" s="100"/>
      <c r="M5" s="100">
        <f>J5/J7</f>
        <v>0.2913577347602912</v>
      </c>
      <c r="N5" s="100">
        <f t="shared" si="0"/>
        <v>415997.48529875535</v>
      </c>
      <c r="O5" s="278">
        <f t="shared" ref="O5:O6" si="1">Q5*M5</f>
        <v>262221.96128426207</v>
      </c>
      <c r="P5" s="100">
        <v>1427789.4000000001</v>
      </c>
      <c r="Q5" s="100">
        <v>900000</v>
      </c>
      <c r="R5" s="100">
        <f>SUM(R2:R4)</f>
        <v>590.68000000000006</v>
      </c>
      <c r="S5" s="100">
        <f>R5*2</f>
        <v>1181.3600000000001</v>
      </c>
      <c r="T5" s="100"/>
      <c r="U5" s="100"/>
      <c r="V5" s="100"/>
      <c r="W5" s="100"/>
      <c r="X5" s="100"/>
      <c r="Y5" s="100"/>
    </row>
    <row r="6" spans="1:25">
      <c r="A6" s="107" t="s">
        <v>384</v>
      </c>
      <c r="B6" s="104" t="s">
        <v>360</v>
      </c>
      <c r="C6" s="105">
        <v>1</v>
      </c>
      <c r="D6" s="342"/>
      <c r="E6" s="110"/>
      <c r="F6" s="109"/>
      <c r="G6" s="108"/>
      <c r="H6" s="123"/>
      <c r="J6" s="101">
        <f>F13</f>
        <v>0</v>
      </c>
      <c r="K6" s="101" t="s">
        <v>436</v>
      </c>
      <c r="L6" s="101" t="s">
        <v>437</v>
      </c>
      <c r="M6" s="101">
        <f>J6/J7</f>
        <v>0</v>
      </c>
      <c r="N6" s="100">
        <f t="shared" si="0"/>
        <v>0</v>
      </c>
      <c r="O6" s="278">
        <f t="shared" si="1"/>
        <v>0</v>
      </c>
      <c r="P6" s="100">
        <v>1427789.4000000001</v>
      </c>
      <c r="Q6" s="100">
        <v>900000</v>
      </c>
    </row>
    <row r="7" spans="1:25">
      <c r="A7" s="107" t="s">
        <v>385</v>
      </c>
      <c r="B7" s="104" t="s">
        <v>360</v>
      </c>
      <c r="C7" s="105">
        <v>1</v>
      </c>
      <c r="D7" s="342"/>
      <c r="E7" s="110"/>
      <c r="F7" s="109"/>
      <c r="G7" s="108"/>
      <c r="H7" s="123"/>
      <c r="I7" s="100"/>
      <c r="J7" s="100">
        <f>J3+J4+J5+J6</f>
        <v>476.91199999999998</v>
      </c>
      <c r="K7" s="100"/>
      <c r="L7" s="100"/>
      <c r="M7" s="100"/>
      <c r="N7" s="100"/>
      <c r="O7" s="100"/>
      <c r="P7" s="100"/>
      <c r="Q7" s="100"/>
      <c r="R7" s="100">
        <f>R5/C43</f>
        <v>193.03267973856211</v>
      </c>
      <c r="S7" s="100">
        <f>S5/C43</f>
        <v>386.06535947712422</v>
      </c>
      <c r="T7" s="100"/>
      <c r="U7" s="100"/>
      <c r="V7" s="100"/>
      <c r="W7" s="100"/>
      <c r="X7" s="100"/>
      <c r="Y7" s="100"/>
    </row>
    <row r="8" spans="1:25" ht="30">
      <c r="A8" s="114" t="s">
        <v>388</v>
      </c>
      <c r="B8" s="104" t="s">
        <v>360</v>
      </c>
      <c r="C8" s="105">
        <v>1</v>
      </c>
      <c r="D8" s="342"/>
      <c r="E8" s="110"/>
      <c r="F8" s="109"/>
      <c r="G8" s="108"/>
      <c r="H8" s="123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</row>
    <row r="9" spans="1:25">
      <c r="A9" s="107" t="s">
        <v>309</v>
      </c>
      <c r="B9" s="104" t="s">
        <v>360</v>
      </c>
      <c r="C9" s="105">
        <v>1</v>
      </c>
      <c r="D9" s="342"/>
      <c r="E9" s="110"/>
      <c r="F9" s="109"/>
      <c r="G9" s="108"/>
      <c r="H9" s="123"/>
      <c r="I9" s="100"/>
      <c r="J9" s="100"/>
      <c r="K9" s="100">
        <v>1515.7</v>
      </c>
      <c r="L9" s="100">
        <f>S7*K9</f>
        <v>585159.26535947714</v>
      </c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5">
      <c r="A10" s="107" t="s">
        <v>386</v>
      </c>
      <c r="B10" s="104" t="s">
        <v>360</v>
      </c>
      <c r="C10" s="105">
        <v>1</v>
      </c>
      <c r="D10" s="343"/>
      <c r="E10" s="110"/>
      <c r="F10" s="109"/>
      <c r="G10" s="108"/>
      <c r="H10" s="123"/>
      <c r="I10" s="100"/>
      <c r="J10" s="100"/>
      <c r="K10" s="100"/>
      <c r="L10" s="100">
        <f>1.1*L9</f>
        <v>643675.19189542485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5" ht="15.75">
      <c r="A11" s="115" t="s">
        <v>389</v>
      </c>
      <c r="B11" s="116" t="s">
        <v>360</v>
      </c>
      <c r="C11" s="117"/>
      <c r="D11" s="115">
        <f>SUM(D3:D10)</f>
        <v>306.25</v>
      </c>
      <c r="E11" s="115">
        <f>SUM(E3:E10)</f>
        <v>0</v>
      </c>
      <c r="F11" s="115">
        <f>SUM(F3:F10)</f>
        <v>0</v>
      </c>
      <c r="G11" s="115">
        <f>SUM(G3:G10)</f>
        <v>0</v>
      </c>
      <c r="H11" s="115">
        <f>SUM(H3:H10)</f>
        <v>0</v>
      </c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</row>
    <row r="12" spans="1:25" ht="15.75">
      <c r="A12" s="99" t="s">
        <v>390</v>
      </c>
      <c r="B12" s="106" t="s">
        <v>360</v>
      </c>
      <c r="C12" s="98"/>
      <c r="D12" s="99">
        <f>D11*0.1+D11</f>
        <v>336.875</v>
      </c>
      <c r="E12" s="99">
        <f>E11*0.1+E11</f>
        <v>0</v>
      </c>
      <c r="F12" s="99">
        <f>F11*0.1+F11</f>
        <v>0</v>
      </c>
      <c r="G12" s="99">
        <f>G11*0.1+G11</f>
        <v>0</v>
      </c>
      <c r="H12" s="99">
        <f>H11*0.1+H11</f>
        <v>0</v>
      </c>
      <c r="I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5" ht="15.75">
      <c r="A13" s="100" t="s">
        <v>392</v>
      </c>
      <c r="B13" s="100"/>
      <c r="C13" s="100"/>
      <c r="D13" s="118">
        <v>340</v>
      </c>
      <c r="E13" s="118"/>
      <c r="F13" s="118"/>
      <c r="G13" s="118"/>
      <c r="H13" s="100"/>
      <c r="I13" s="100"/>
      <c r="J13" s="100"/>
      <c r="K13" s="100"/>
      <c r="L13" s="100"/>
      <c r="M13" s="100"/>
      <c r="N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</row>
    <row r="14" spans="1: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1:25">
      <c r="A15" s="100"/>
      <c r="B15" s="100"/>
      <c r="C15" s="100"/>
      <c r="D15" s="113"/>
      <c r="E15" s="100"/>
      <c r="F15" s="100"/>
      <c r="G15" s="100"/>
      <c r="H15" s="283">
        <v>17</v>
      </c>
      <c r="I15" s="283">
        <v>2.91</v>
      </c>
      <c r="J15" s="100"/>
      <c r="K15" s="100"/>
      <c r="L15" s="100"/>
      <c r="M15" s="100"/>
      <c r="N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</row>
    <row r="16" spans="1:25" ht="15.75">
      <c r="A16" s="104" t="s">
        <v>391</v>
      </c>
      <c r="B16" s="99">
        <f>D12+E12+F12+G12</f>
        <v>336.875</v>
      </c>
      <c r="C16" s="100"/>
      <c r="D16" s="100"/>
      <c r="E16" s="100"/>
      <c r="F16" s="100"/>
      <c r="G16" s="100"/>
      <c r="H16" s="283">
        <v>4</v>
      </c>
      <c r="I16" s="283">
        <v>1</v>
      </c>
      <c r="J16" s="100"/>
      <c r="K16" s="100"/>
      <c r="L16" s="100"/>
      <c r="M16" s="100"/>
      <c r="N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>
      <c r="A17" s="100"/>
      <c r="B17" s="100"/>
      <c r="C17" s="100"/>
      <c r="D17" s="100"/>
      <c r="E17" s="100"/>
      <c r="F17" s="100"/>
      <c r="G17" s="100"/>
      <c r="H17" s="283">
        <v>3</v>
      </c>
      <c r="I17" s="283">
        <v>1.2</v>
      </c>
      <c r="J17" s="100"/>
      <c r="K17" s="100"/>
      <c r="L17" s="100"/>
      <c r="M17" s="100">
        <v>2247</v>
      </c>
      <c r="N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  <row r="18" spans="1:25">
      <c r="A18" s="100"/>
      <c r="B18" s="100"/>
      <c r="C18" s="100"/>
      <c r="D18" s="100"/>
      <c r="F18" s="100"/>
      <c r="G18" s="100"/>
      <c r="H18" s="283">
        <v>1.5</v>
      </c>
      <c r="I18" s="283">
        <v>4</v>
      </c>
      <c r="J18" s="100"/>
      <c r="K18" s="100"/>
      <c r="L18" s="100"/>
      <c r="M18" s="100"/>
      <c r="N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</row>
    <row r="19" spans="1:25" ht="15.75" hidden="1" thickBot="1">
      <c r="A19" s="269"/>
      <c r="B19" s="270"/>
      <c r="C19" s="270"/>
      <c r="D19" s="270"/>
      <c r="E19" s="270"/>
      <c r="F19" s="270"/>
      <c r="G19" s="270"/>
      <c r="H19" s="284"/>
      <c r="I19" s="284"/>
      <c r="J19" s="270"/>
      <c r="K19" s="270"/>
      <c r="L19" s="270"/>
      <c r="M19" s="271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</row>
    <row r="20" spans="1:25" ht="15.75" hidden="1" thickBot="1">
      <c r="A20" s="344" t="s">
        <v>438</v>
      </c>
      <c r="B20" s="345"/>
      <c r="C20" s="346"/>
      <c r="D20" s="267" t="s">
        <v>444</v>
      </c>
      <c r="E20" s="268">
        <f>11*20</f>
        <v>220</v>
      </c>
      <c r="F20" s="100"/>
      <c r="G20" s="100"/>
      <c r="H20" s="283"/>
      <c r="I20" s="283"/>
      <c r="J20" s="100"/>
      <c r="K20" s="100"/>
      <c r="L20" s="100"/>
      <c r="M20" s="272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</row>
    <row r="21" spans="1:25" hidden="1">
      <c r="A21" s="273" t="s">
        <v>439</v>
      </c>
      <c r="B21" s="100"/>
      <c r="C21" s="100"/>
      <c r="D21" s="100"/>
      <c r="E21" s="100"/>
      <c r="F21" s="100"/>
      <c r="G21" s="100"/>
      <c r="H21" s="283"/>
      <c r="I21" s="283"/>
      <c r="J21" s="100"/>
      <c r="K21" s="100"/>
      <c r="L21" s="100"/>
      <c r="M21" s="27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</row>
    <row r="22" spans="1:25" hidden="1">
      <c r="A22" s="273" t="s">
        <v>440</v>
      </c>
      <c r="B22" s="100">
        <v>7</v>
      </c>
      <c r="C22" s="100">
        <v>11</v>
      </c>
      <c r="D22" s="100">
        <f>C22*B22</f>
        <v>77</v>
      </c>
      <c r="E22" s="100">
        <v>1700</v>
      </c>
      <c r="F22" s="100">
        <f>E22*D22</f>
        <v>130900</v>
      </c>
      <c r="G22" s="100"/>
      <c r="H22" s="283"/>
      <c r="I22" s="283"/>
      <c r="J22" s="100"/>
      <c r="K22" s="100"/>
      <c r="L22" s="100"/>
      <c r="M22" s="272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</row>
    <row r="23" spans="1:25" hidden="1">
      <c r="A23" s="273" t="s">
        <v>441</v>
      </c>
      <c r="B23" s="100">
        <v>12</v>
      </c>
      <c r="C23" s="100">
        <v>11</v>
      </c>
      <c r="D23" s="100">
        <f>C23*B23</f>
        <v>132</v>
      </c>
      <c r="E23" s="100">
        <v>380</v>
      </c>
      <c r="F23" s="100">
        <f>E23*D23</f>
        <v>50160</v>
      </c>
      <c r="G23" s="100"/>
      <c r="H23" s="283"/>
      <c r="I23" s="283"/>
      <c r="J23" s="100"/>
      <c r="K23" s="100"/>
      <c r="L23" s="100"/>
      <c r="M23" s="27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</row>
    <row r="24" spans="1:25" hidden="1">
      <c r="A24" s="273" t="s">
        <v>442</v>
      </c>
      <c r="B24" s="100">
        <v>7</v>
      </c>
      <c r="C24" s="100">
        <v>11</v>
      </c>
      <c r="D24" s="100">
        <f>C24*B24</f>
        <v>77</v>
      </c>
      <c r="E24" s="100">
        <v>40</v>
      </c>
      <c r="F24" s="100">
        <f>E24*D24</f>
        <v>3080</v>
      </c>
      <c r="G24" s="100"/>
      <c r="H24" s="283"/>
      <c r="I24" s="283"/>
      <c r="J24" s="100"/>
      <c r="K24" s="100"/>
      <c r="L24" s="100"/>
      <c r="M24" s="272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</row>
    <row r="25" spans="1:25" hidden="1">
      <c r="A25" s="273" t="s">
        <v>443</v>
      </c>
      <c r="B25" s="100">
        <v>6</v>
      </c>
      <c r="C25" s="100">
        <v>11</v>
      </c>
      <c r="D25" s="100">
        <f>B25*C25</f>
        <v>66</v>
      </c>
      <c r="E25" s="100">
        <v>350</v>
      </c>
      <c r="F25" s="100">
        <f>E25*D25</f>
        <v>23100</v>
      </c>
      <c r="G25" s="100"/>
      <c r="H25" s="283"/>
      <c r="I25" s="283"/>
      <c r="J25" s="100"/>
      <c r="K25" s="100"/>
      <c r="L25" s="100"/>
      <c r="M25" s="27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</row>
    <row r="26" spans="1:25" hidden="1">
      <c r="A26" s="273"/>
      <c r="B26" s="100"/>
      <c r="C26" s="100"/>
      <c r="D26" s="100"/>
      <c r="E26" s="100"/>
      <c r="F26" s="100">
        <f>SUM(F22:F25)</f>
        <v>207240</v>
      </c>
      <c r="G26" s="100"/>
      <c r="H26" s="283">
        <f>F26/E20</f>
        <v>942</v>
      </c>
      <c r="I26" s="283">
        <v>600</v>
      </c>
      <c r="J26" s="100"/>
      <c r="K26" s="100"/>
      <c r="L26" s="100"/>
      <c r="M26" s="272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</row>
    <row r="27" spans="1:25" hidden="1">
      <c r="A27" s="273"/>
      <c r="B27" s="100"/>
      <c r="C27" s="100"/>
      <c r="D27" s="100"/>
      <c r="E27" s="100"/>
      <c r="F27" s="100"/>
      <c r="G27" s="100"/>
      <c r="H27" s="283"/>
      <c r="I27" s="283"/>
      <c r="J27" s="100"/>
      <c r="K27" s="100"/>
      <c r="L27" s="100"/>
      <c r="M27" s="27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5" hidden="1">
      <c r="A28" s="273" t="s">
        <v>445</v>
      </c>
      <c r="B28" s="100" t="s">
        <v>444</v>
      </c>
      <c r="C28" s="100"/>
      <c r="D28" s="100"/>
      <c r="E28" s="100"/>
      <c r="F28" s="100"/>
      <c r="G28" s="100"/>
      <c r="H28" s="283"/>
      <c r="I28" s="283"/>
      <c r="J28" s="100"/>
      <c r="K28" s="100"/>
      <c r="L28" s="100"/>
      <c r="M28" s="272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</row>
    <row r="29" spans="1:25" hidden="1">
      <c r="A29" s="273"/>
      <c r="B29" s="100">
        <f>21*20</f>
        <v>420</v>
      </c>
      <c r="C29" s="100"/>
      <c r="D29" s="100"/>
      <c r="E29" s="100"/>
      <c r="F29" s="100"/>
      <c r="G29" s="100"/>
      <c r="H29" s="283"/>
      <c r="I29" s="283"/>
      <c r="J29" s="100"/>
      <c r="K29" s="100"/>
      <c r="L29" s="100"/>
      <c r="M29" s="27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1:25" hidden="1">
      <c r="A30" s="273" t="s">
        <v>446</v>
      </c>
      <c r="B30" s="100">
        <f>10.7*20</f>
        <v>214</v>
      </c>
      <c r="C30" s="100"/>
      <c r="D30" s="100"/>
      <c r="E30" s="100"/>
      <c r="F30" s="100"/>
      <c r="G30" s="100"/>
      <c r="H30" s="283"/>
      <c r="I30" s="283"/>
      <c r="J30" s="100"/>
      <c r="K30" s="100"/>
      <c r="L30" s="100"/>
      <c r="M30" s="272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</row>
    <row r="31" spans="1:25" hidden="1">
      <c r="A31" s="273"/>
      <c r="B31" s="100">
        <f>3*20</f>
        <v>60</v>
      </c>
      <c r="C31" s="100"/>
      <c r="D31" s="100"/>
      <c r="E31" s="100"/>
      <c r="F31" s="100"/>
      <c r="G31" s="100"/>
      <c r="H31" s="283"/>
      <c r="I31" s="283"/>
      <c r="J31" s="100"/>
      <c r="K31" s="100"/>
      <c r="L31" s="100"/>
      <c r="M31" s="27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1:25" hidden="1">
      <c r="A32" s="273"/>
      <c r="B32" s="100">
        <f>5.4*15</f>
        <v>81</v>
      </c>
      <c r="C32" s="100"/>
      <c r="D32" s="100"/>
      <c r="E32" s="100"/>
      <c r="F32" s="100"/>
      <c r="G32" s="100"/>
      <c r="H32" s="283"/>
      <c r="I32" s="283"/>
      <c r="J32" s="100"/>
      <c r="K32" s="100"/>
      <c r="L32" s="100"/>
      <c r="M32" s="272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</row>
    <row r="33" spans="1:25" hidden="1">
      <c r="A33" s="273"/>
      <c r="B33" s="100">
        <f>12*4</f>
        <v>48</v>
      </c>
      <c r="C33" s="100"/>
      <c r="D33" s="100"/>
      <c r="E33" s="100"/>
      <c r="F33" s="100"/>
      <c r="G33" s="100"/>
      <c r="H33" s="283"/>
      <c r="I33" s="283"/>
      <c r="J33" s="100"/>
      <c r="K33" s="100"/>
      <c r="L33" s="100"/>
      <c r="M33" s="27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</row>
    <row r="34" spans="1:25" hidden="1">
      <c r="A34" s="273"/>
      <c r="B34" s="100">
        <f>8*15</f>
        <v>120</v>
      </c>
      <c r="C34" s="100"/>
      <c r="D34" s="100"/>
      <c r="E34" s="100"/>
      <c r="F34" s="100"/>
      <c r="G34" s="100"/>
      <c r="H34" s="283"/>
      <c r="I34" s="283"/>
      <c r="J34" s="100"/>
      <c r="K34" s="100"/>
      <c r="L34" s="100"/>
      <c r="M34" s="272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</row>
    <row r="35" spans="1:25" hidden="1">
      <c r="A35" s="273"/>
      <c r="B35" s="100">
        <f>8.2*15</f>
        <v>122.99999999999999</v>
      </c>
      <c r="C35" s="100"/>
      <c r="D35" s="100"/>
      <c r="E35" s="100"/>
      <c r="F35" s="100"/>
      <c r="G35" s="100"/>
      <c r="H35" s="283"/>
      <c r="I35" s="283"/>
      <c r="J35" s="100"/>
      <c r="K35" s="100"/>
      <c r="L35" s="100"/>
      <c r="M35" s="27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hidden="1">
      <c r="A36" s="273"/>
      <c r="B36" s="100">
        <f>19*7.25</f>
        <v>137.75</v>
      </c>
      <c r="C36" s="100"/>
      <c r="D36" s="100"/>
      <c r="E36" s="100"/>
      <c r="F36" s="100"/>
      <c r="G36" s="100"/>
      <c r="H36" s="283"/>
      <c r="I36" s="283"/>
      <c r="J36" s="100"/>
      <c r="K36" s="100"/>
      <c r="L36" s="100"/>
      <c r="M36" s="272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</row>
    <row r="37" spans="1:25" hidden="1">
      <c r="A37" s="273"/>
      <c r="B37" s="100">
        <f>5.4*5</f>
        <v>27</v>
      </c>
      <c r="C37" s="100"/>
      <c r="D37" s="100"/>
      <c r="E37" s="100"/>
      <c r="F37" s="100"/>
      <c r="G37" s="100"/>
      <c r="H37" s="283"/>
      <c r="I37" s="283"/>
      <c r="J37" s="100"/>
      <c r="K37" s="100"/>
      <c r="L37" s="100"/>
      <c r="M37" s="272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</row>
    <row r="38" spans="1:25" hidden="1">
      <c r="A38" s="273"/>
      <c r="B38" s="100">
        <f>3*5.4</f>
        <v>16.200000000000003</v>
      </c>
      <c r="C38" s="100"/>
      <c r="D38" s="100"/>
      <c r="E38" s="100"/>
      <c r="F38" s="100"/>
      <c r="G38" s="100"/>
      <c r="H38" s="283"/>
      <c r="I38" s="283"/>
      <c r="J38" s="100"/>
      <c r="K38" s="100"/>
      <c r="L38" s="100"/>
      <c r="M38" s="27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</row>
    <row r="39" spans="1:25" hidden="1">
      <c r="A39" s="273"/>
      <c r="B39" s="100">
        <f>6.5*7.5</f>
        <v>48.75</v>
      </c>
      <c r="C39" s="100"/>
      <c r="D39" s="100"/>
      <c r="E39" s="100"/>
      <c r="F39" s="100"/>
      <c r="G39" s="100"/>
      <c r="H39" s="283"/>
      <c r="I39" s="283"/>
      <c r="J39" s="100"/>
      <c r="K39" s="100"/>
      <c r="L39" s="100"/>
      <c r="M39" s="272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</row>
    <row r="40" spans="1:25" hidden="1">
      <c r="A40" s="273"/>
      <c r="B40" s="100">
        <v>220</v>
      </c>
      <c r="C40" s="100"/>
      <c r="D40" s="100"/>
      <c r="E40" s="100"/>
      <c r="F40" s="100"/>
      <c r="G40" s="100"/>
      <c r="H40" s="283"/>
      <c r="I40" s="283"/>
      <c r="J40" s="100"/>
      <c r="K40" s="100"/>
      <c r="L40" s="100"/>
      <c r="M40" s="27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</row>
    <row r="41" spans="1:25" ht="15.75" hidden="1" thickBot="1">
      <c r="A41" s="274"/>
      <c r="B41" s="275">
        <f>SUM(B29:B40)</f>
        <v>1515.7</v>
      </c>
      <c r="C41" s="275">
        <f>H26*B41</f>
        <v>1427789.4000000001</v>
      </c>
      <c r="D41" s="275">
        <f>B41*I26</f>
        <v>909420</v>
      </c>
      <c r="E41" s="275"/>
      <c r="F41" s="275"/>
      <c r="G41" s="275"/>
      <c r="H41" s="285"/>
      <c r="I41" s="285"/>
      <c r="J41" s="275"/>
      <c r="K41" s="275"/>
      <c r="L41" s="275"/>
      <c r="M41" s="276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</row>
    <row r="42" spans="1:25">
      <c r="A42" s="100"/>
      <c r="B42" s="100"/>
      <c r="C42" s="100"/>
      <c r="D42" s="100"/>
      <c r="E42" s="100"/>
      <c r="F42" s="100"/>
      <c r="G42" s="100"/>
      <c r="H42" s="283">
        <v>1</v>
      </c>
      <c r="I42" s="283">
        <v>1</v>
      </c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</row>
    <row r="43" spans="1:25">
      <c r="A43" s="100">
        <v>1.7</v>
      </c>
      <c r="B43" s="100">
        <v>1.8</v>
      </c>
      <c r="C43" s="100">
        <f>A43*B43</f>
        <v>3.06</v>
      </c>
      <c r="D43" s="100"/>
      <c r="E43" s="100"/>
      <c r="F43" s="100"/>
      <c r="G43" s="100"/>
      <c r="H43" s="283">
        <v>1.5</v>
      </c>
      <c r="I43" s="283">
        <v>0.5</v>
      </c>
      <c r="J43" s="100"/>
      <c r="K43" s="100"/>
      <c r="L43" s="100"/>
      <c r="M43" s="100" t="s">
        <v>427</v>
      </c>
      <c r="N43" s="100"/>
      <c r="O43" s="100" t="s">
        <v>464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</row>
    <row r="44" spans="1:25">
      <c r="A44" s="100"/>
      <c r="B44" s="100"/>
      <c r="C44" s="100"/>
      <c r="D44" s="100"/>
      <c r="E44" s="100"/>
      <c r="F44" s="100"/>
      <c r="G44" s="100"/>
      <c r="H44" s="283">
        <v>4</v>
      </c>
      <c r="I44" s="283">
        <v>1</v>
      </c>
      <c r="J44" s="100"/>
      <c r="K44" s="100"/>
      <c r="L44" s="100"/>
      <c r="M44" s="101" t="s">
        <v>428</v>
      </c>
      <c r="N44" s="100"/>
      <c r="O44" s="100" t="s">
        <v>465</v>
      </c>
      <c r="P44" s="100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1:25">
      <c r="A45" s="100"/>
      <c r="B45" s="100"/>
      <c r="C45" s="100"/>
      <c r="D45" s="100"/>
      <c r="E45" s="100"/>
      <c r="F45" s="100"/>
      <c r="G45" s="100"/>
      <c r="H45" s="283">
        <v>4.5</v>
      </c>
      <c r="I45" s="283">
        <v>3.5</v>
      </c>
      <c r="J45" s="100"/>
      <c r="K45" s="100"/>
      <c r="L45" s="100"/>
      <c r="M45" s="100" t="s">
        <v>430</v>
      </c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</row>
    <row r="46" spans="1:25">
      <c r="A46" s="100"/>
      <c r="B46" s="100"/>
      <c r="C46" s="100"/>
      <c r="D46" s="100"/>
      <c r="E46" s="100"/>
      <c r="F46" s="100"/>
      <c r="G46" s="100"/>
      <c r="H46" s="283">
        <v>4</v>
      </c>
      <c r="I46" s="283">
        <v>1</v>
      </c>
      <c r="J46" s="100"/>
      <c r="K46" s="100"/>
      <c r="L46" s="100"/>
      <c r="M46" s="100" t="s">
        <v>431</v>
      </c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</row>
    <row r="47" spans="1:25">
      <c r="A47" s="100"/>
      <c r="B47" s="100"/>
      <c r="C47" s="100"/>
      <c r="D47" s="100"/>
      <c r="E47" s="100"/>
      <c r="F47" s="100"/>
      <c r="G47" s="100"/>
      <c r="H47" s="283">
        <v>12.5</v>
      </c>
      <c r="I47" s="283">
        <v>0.5</v>
      </c>
      <c r="J47" s="100"/>
      <c r="K47" s="100"/>
      <c r="L47" s="100"/>
      <c r="M47" s="100" t="s">
        <v>459</v>
      </c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</row>
    <row r="48" spans="1:25">
      <c r="A48" s="100" t="s">
        <v>447</v>
      </c>
      <c r="B48" s="100"/>
      <c r="C48" s="100"/>
      <c r="D48" s="100"/>
      <c r="E48" s="100"/>
      <c r="F48" s="100"/>
      <c r="G48" s="100"/>
      <c r="H48" s="283">
        <v>5.5</v>
      </c>
      <c r="I48" s="283">
        <v>1.2</v>
      </c>
      <c r="K48" s="100"/>
      <c r="L48" s="100"/>
      <c r="M48" s="100" t="s">
        <v>432</v>
      </c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</row>
    <row r="49" spans="1:25">
      <c r="A49" s="100"/>
      <c r="B49" s="100" t="s">
        <v>98</v>
      </c>
      <c r="C49" s="100" t="s">
        <v>451</v>
      </c>
      <c r="D49" s="100" t="s">
        <v>454</v>
      </c>
      <c r="E49" s="100"/>
      <c r="F49" s="100"/>
      <c r="G49" s="100"/>
      <c r="H49" s="283">
        <v>4.5</v>
      </c>
      <c r="I49" s="283">
        <v>3.5</v>
      </c>
      <c r="J49" s="100"/>
      <c r="K49" s="100"/>
      <c r="L49" s="100"/>
      <c r="M49" s="100" t="s">
        <v>429</v>
      </c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</row>
    <row r="50" spans="1:25">
      <c r="A50" s="100" t="s">
        <v>448</v>
      </c>
      <c r="B50" s="100">
        <f>13*20*2</f>
        <v>520</v>
      </c>
      <c r="C50" s="277">
        <f>B50/6</f>
        <v>86.666666666666671</v>
      </c>
      <c r="D50" s="100">
        <v>900</v>
      </c>
      <c r="E50" s="100">
        <f>D50*C50</f>
        <v>78000</v>
      </c>
      <c r="F50" s="100"/>
      <c r="G50" s="100"/>
      <c r="H50" s="283">
        <v>6</v>
      </c>
      <c r="I50" s="283">
        <v>0.5</v>
      </c>
      <c r="J50" s="100"/>
      <c r="K50" s="100"/>
      <c r="L50" s="100"/>
      <c r="M50" s="100" t="s">
        <v>460</v>
      </c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</row>
    <row r="51" spans="1:25">
      <c r="A51" s="100" t="s">
        <v>449</v>
      </c>
      <c r="B51" s="100">
        <f>2*11*20</f>
        <v>440</v>
      </c>
      <c r="C51" s="277">
        <f t="shared" ref="C51:C52" si="2">B51/6</f>
        <v>73.333333333333329</v>
      </c>
      <c r="D51" s="100">
        <v>900</v>
      </c>
      <c r="E51" s="100">
        <f t="shared" ref="E51:E52" si="3">D51*C51</f>
        <v>66000</v>
      </c>
      <c r="F51" s="100"/>
      <c r="G51" s="100"/>
      <c r="H51" s="283">
        <v>8.5</v>
      </c>
      <c r="I51" s="283">
        <v>0.6</v>
      </c>
      <c r="J51" s="100"/>
      <c r="K51" s="100"/>
      <c r="L51" s="100"/>
      <c r="M51" s="100" t="s">
        <v>461</v>
      </c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</row>
    <row r="52" spans="1:25">
      <c r="A52" s="100" t="s">
        <v>450</v>
      </c>
      <c r="B52" s="100">
        <f>143*1.5*2</f>
        <v>429</v>
      </c>
      <c r="C52" s="277">
        <f t="shared" si="2"/>
        <v>71.5</v>
      </c>
      <c r="D52" s="100">
        <v>900</v>
      </c>
      <c r="E52" s="100">
        <f t="shared" si="3"/>
        <v>64350</v>
      </c>
      <c r="F52" s="100"/>
      <c r="G52" s="100"/>
      <c r="H52" s="283">
        <v>8</v>
      </c>
      <c r="I52" s="283">
        <v>1</v>
      </c>
      <c r="J52" s="100"/>
      <c r="K52" s="100"/>
      <c r="L52" s="100"/>
      <c r="M52" s="100" t="s">
        <v>462</v>
      </c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</row>
    <row r="53" spans="1:25">
      <c r="A53" s="100"/>
      <c r="B53" s="100"/>
      <c r="C53" s="277">
        <f>SUM(C50:C52)</f>
        <v>231.5</v>
      </c>
      <c r="D53" s="100"/>
      <c r="E53" s="100">
        <f>SUM(E50:E52)</f>
        <v>208350</v>
      </c>
      <c r="F53" s="100"/>
      <c r="G53" s="100"/>
      <c r="H53" s="283">
        <v>5</v>
      </c>
      <c r="I53" s="283">
        <v>2</v>
      </c>
      <c r="J53" s="100"/>
      <c r="K53" s="100"/>
      <c r="L53" s="100"/>
      <c r="M53" s="100" t="s">
        <v>463</v>
      </c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</row>
    <row r="54" spans="1:25">
      <c r="A54" s="100" t="s">
        <v>452</v>
      </c>
      <c r="B54" s="100" t="s">
        <v>453</v>
      </c>
      <c r="C54" s="100" t="s">
        <v>454</v>
      </c>
      <c r="D54" s="100"/>
      <c r="E54" s="100"/>
      <c r="F54" s="100"/>
      <c r="G54" s="100"/>
      <c r="H54" s="283">
        <v>5.5</v>
      </c>
      <c r="I54" s="283">
        <v>0.12</v>
      </c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</row>
    <row r="55" spans="1:25">
      <c r="A55" s="100"/>
      <c r="B55" s="100">
        <v>256</v>
      </c>
      <c r="C55" s="100">
        <v>75</v>
      </c>
      <c r="D55" s="100">
        <f>C55*B55</f>
        <v>19200</v>
      </c>
      <c r="E55" s="100"/>
      <c r="F55" s="100"/>
      <c r="G55" s="100"/>
      <c r="H55" s="283">
        <v>7.5</v>
      </c>
      <c r="I55" s="283">
        <v>1</v>
      </c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</row>
    <row r="56" spans="1:25">
      <c r="A56" s="100"/>
      <c r="B56" s="100"/>
      <c r="C56" s="100"/>
      <c r="D56" s="100"/>
      <c r="E56" s="100"/>
      <c r="F56" s="100"/>
      <c r="G56" s="100"/>
      <c r="H56" s="283">
        <v>6.42</v>
      </c>
      <c r="I56" s="283">
        <v>8</v>
      </c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</row>
    <row r="57" spans="1:25">
      <c r="A57" s="100" t="s">
        <v>455</v>
      </c>
      <c r="B57" s="101" t="s">
        <v>98</v>
      </c>
      <c r="C57" s="100" t="s">
        <v>456</v>
      </c>
      <c r="D57" s="100"/>
      <c r="E57" s="100"/>
      <c r="F57" s="100"/>
      <c r="G57" s="100"/>
      <c r="H57" s="283">
        <v>9.5</v>
      </c>
      <c r="I57" s="283">
        <v>16</v>
      </c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</row>
    <row r="58" spans="1:25">
      <c r="A58" s="100"/>
      <c r="B58" s="101">
        <f>20*7</f>
        <v>140</v>
      </c>
      <c r="C58" s="100">
        <v>175</v>
      </c>
      <c r="D58" s="100">
        <f>C58*B58</f>
        <v>24500</v>
      </c>
      <c r="E58" s="100"/>
      <c r="F58" s="100"/>
      <c r="G58" s="100"/>
      <c r="H58" s="283">
        <v>8</v>
      </c>
      <c r="I58" s="283">
        <v>30</v>
      </c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</row>
    <row r="59" spans="1:25">
      <c r="A59" s="100"/>
      <c r="B59" s="100"/>
      <c r="C59" s="100"/>
      <c r="D59" s="100"/>
      <c r="E59" s="100"/>
      <c r="F59" s="100"/>
      <c r="G59" s="100"/>
      <c r="H59" s="283">
        <v>9.1999999999999993</v>
      </c>
      <c r="I59" s="283">
        <v>9</v>
      </c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</row>
    <row r="60" spans="1:25">
      <c r="A60" s="100"/>
      <c r="B60" s="100"/>
      <c r="C60" s="100"/>
      <c r="D60" s="279">
        <f>D58+D55+E53</f>
        <v>252050</v>
      </c>
      <c r="E60" s="100"/>
      <c r="F60" s="100">
        <f>20*20</f>
        <v>400</v>
      </c>
      <c r="G60" s="100"/>
      <c r="H60" s="283">
        <v>6</v>
      </c>
      <c r="I60" s="283">
        <v>2</v>
      </c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</row>
    <row r="61" spans="1:25">
      <c r="A61" s="100"/>
      <c r="B61" s="100"/>
      <c r="C61" s="100"/>
      <c r="D61" s="100"/>
      <c r="E61" s="100"/>
      <c r="F61" s="100">
        <f>D60/F60</f>
        <v>630.125</v>
      </c>
      <c r="G61" s="100"/>
      <c r="H61" s="283">
        <v>33</v>
      </c>
      <c r="I61" s="283">
        <v>2</v>
      </c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</row>
    <row r="62" spans="1:25">
      <c r="A62" s="100"/>
      <c r="B62" s="100"/>
      <c r="C62" s="100"/>
      <c r="D62" s="100"/>
      <c r="E62" s="100"/>
      <c r="F62" s="100"/>
      <c r="G62" s="100"/>
      <c r="H62" s="283">
        <v>1.2</v>
      </c>
      <c r="I62" s="283">
        <v>0.5</v>
      </c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</row>
    <row r="63" spans="1:25">
      <c r="A63" s="100"/>
      <c r="B63" s="100"/>
      <c r="C63" s="100"/>
      <c r="D63" s="100"/>
      <c r="E63" s="100"/>
      <c r="F63" s="100"/>
      <c r="G63" s="100"/>
      <c r="H63" s="283">
        <v>3</v>
      </c>
      <c r="I63" s="283">
        <v>2</v>
      </c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</row>
    <row r="64" spans="1:25">
      <c r="A64" s="100" t="s">
        <v>468</v>
      </c>
      <c r="B64" s="100"/>
      <c r="C64" s="100"/>
      <c r="D64" s="100"/>
      <c r="E64" s="100"/>
      <c r="F64" s="100"/>
      <c r="G64" s="100"/>
      <c r="H64" s="283">
        <v>1</v>
      </c>
      <c r="I64" s="286">
        <v>0.6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</row>
    <row r="65" spans="1:25">
      <c r="A65" s="100" t="s">
        <v>467</v>
      </c>
      <c r="B65" s="100">
        <v>900</v>
      </c>
      <c r="C65" s="100"/>
      <c r="D65" s="100"/>
      <c r="E65" s="100"/>
      <c r="F65" s="100"/>
      <c r="G65" s="100"/>
      <c r="H65" s="283">
        <v>1</v>
      </c>
      <c r="I65" s="283">
        <v>1.5</v>
      </c>
      <c r="J65" s="100"/>
      <c r="K65" s="100">
        <f>H15</f>
        <v>17</v>
      </c>
      <c r="L65" s="100">
        <f>I15</f>
        <v>2.91</v>
      </c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</row>
    <row r="66" spans="1:25">
      <c r="A66" s="100" t="s">
        <v>452</v>
      </c>
      <c r="B66" s="100">
        <v>75</v>
      </c>
      <c r="C66" s="100"/>
      <c r="D66" s="100"/>
      <c r="E66" s="100"/>
      <c r="F66" s="100"/>
      <c r="G66" s="100"/>
      <c r="H66" s="283">
        <v>4.5</v>
      </c>
      <c r="I66" s="283">
        <v>0.5</v>
      </c>
      <c r="J66" s="100"/>
      <c r="K66" s="100">
        <f t="shared" ref="K66:L67" si="4">H16</f>
        <v>4</v>
      </c>
      <c r="L66" s="100">
        <f t="shared" si="4"/>
        <v>1</v>
      </c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</row>
    <row r="67" spans="1:25">
      <c r="A67" s="100" t="s">
        <v>455</v>
      </c>
      <c r="B67" s="100">
        <f>180*3</f>
        <v>540</v>
      </c>
      <c r="C67" s="100"/>
      <c r="D67" s="100"/>
      <c r="E67" s="100"/>
      <c r="F67" s="100"/>
      <c r="G67" s="100"/>
      <c r="H67" s="283">
        <v>9</v>
      </c>
      <c r="I67" s="283">
        <v>0.5</v>
      </c>
      <c r="J67" s="100"/>
      <c r="K67" s="100">
        <f t="shared" si="4"/>
        <v>3</v>
      </c>
      <c r="L67" s="100">
        <f t="shared" si="4"/>
        <v>1.2</v>
      </c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</row>
    <row r="68" spans="1:25">
      <c r="A68" s="100"/>
      <c r="B68" s="100"/>
      <c r="C68" s="100"/>
      <c r="D68" s="100"/>
      <c r="E68" s="100"/>
      <c r="F68" s="100"/>
      <c r="G68" s="100"/>
      <c r="H68" s="283"/>
      <c r="I68" s="283">
        <v>1</v>
      </c>
      <c r="J68" s="100"/>
      <c r="K68" s="100">
        <f>H18</f>
        <v>1.5</v>
      </c>
      <c r="L68" s="100">
        <f>I18</f>
        <v>4</v>
      </c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</row>
    <row r="69" spans="1:25">
      <c r="A69" s="100"/>
      <c r="B69" s="100"/>
      <c r="C69" s="100"/>
      <c r="D69" s="100"/>
      <c r="E69" s="100"/>
      <c r="F69" s="100"/>
      <c r="G69" s="100"/>
      <c r="H69" s="283"/>
      <c r="I69" s="283">
        <v>1.2</v>
      </c>
      <c r="J69" s="100"/>
      <c r="K69" s="100">
        <f>H42</f>
        <v>1</v>
      </c>
      <c r="L69" s="100">
        <f>I42</f>
        <v>1</v>
      </c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</row>
    <row r="70" spans="1:25">
      <c r="A70" s="100"/>
      <c r="B70" s="100"/>
      <c r="C70" s="100"/>
      <c r="D70" s="100"/>
      <c r="E70" s="100"/>
      <c r="F70" s="100"/>
      <c r="G70" s="100"/>
      <c r="H70" s="283"/>
      <c r="I70" s="283">
        <v>0.5</v>
      </c>
      <c r="J70" s="100"/>
      <c r="K70" s="100">
        <f t="shared" ref="K70:L94" si="5">H43</f>
        <v>1.5</v>
      </c>
      <c r="L70" s="100">
        <f t="shared" si="5"/>
        <v>0.5</v>
      </c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</row>
    <row r="71" spans="1:25">
      <c r="A71" s="100"/>
      <c r="B71" s="100"/>
      <c r="C71" s="100"/>
      <c r="D71" s="100"/>
      <c r="E71" s="100"/>
      <c r="F71" s="100"/>
      <c r="G71" s="100"/>
      <c r="H71" s="283"/>
      <c r="I71" s="283">
        <v>1.2</v>
      </c>
      <c r="J71" s="100"/>
      <c r="K71" s="100">
        <f t="shared" si="5"/>
        <v>4</v>
      </c>
      <c r="L71" s="100">
        <f t="shared" si="5"/>
        <v>1</v>
      </c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</row>
    <row r="72" spans="1:25">
      <c r="A72" s="100"/>
      <c r="B72" s="100"/>
      <c r="C72" s="100"/>
      <c r="D72" s="100"/>
      <c r="E72" s="100"/>
      <c r="F72" s="100"/>
      <c r="G72" s="100"/>
      <c r="H72" s="283"/>
      <c r="I72" s="283">
        <v>3</v>
      </c>
      <c r="J72" s="100"/>
      <c r="K72" s="100">
        <f t="shared" si="5"/>
        <v>4.5</v>
      </c>
      <c r="L72" s="100">
        <f t="shared" si="5"/>
        <v>3.5</v>
      </c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</row>
    <row r="73" spans="1:25">
      <c r="A73" s="100"/>
      <c r="B73" s="100"/>
      <c r="C73" s="100"/>
      <c r="D73" s="100"/>
      <c r="E73" s="100"/>
      <c r="F73" s="100"/>
      <c r="G73" s="100"/>
      <c r="H73" s="283"/>
      <c r="I73" s="283">
        <v>1.2</v>
      </c>
      <c r="J73" s="100"/>
      <c r="K73" s="100">
        <f t="shared" si="5"/>
        <v>4</v>
      </c>
      <c r="L73" s="100">
        <f t="shared" si="5"/>
        <v>1</v>
      </c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</row>
    <row r="74" spans="1:25">
      <c r="A74" s="100"/>
      <c r="B74" s="100"/>
      <c r="C74" s="100"/>
      <c r="D74" s="100"/>
      <c r="E74" s="100"/>
      <c r="F74" s="100"/>
      <c r="G74" s="100"/>
      <c r="H74" s="283"/>
      <c r="I74" s="283">
        <v>0.2</v>
      </c>
      <c r="J74" s="100"/>
      <c r="K74" s="100">
        <f t="shared" si="5"/>
        <v>12.5</v>
      </c>
      <c r="L74" s="100">
        <f t="shared" si="5"/>
        <v>0.5</v>
      </c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</row>
    <row r="75" spans="1:25">
      <c r="A75" s="100"/>
      <c r="B75" s="100"/>
      <c r="C75" s="100"/>
      <c r="D75" s="100"/>
      <c r="E75" s="100"/>
      <c r="F75" s="100"/>
      <c r="G75" s="100"/>
      <c r="H75" s="283"/>
      <c r="I75" s="283">
        <v>0.5</v>
      </c>
      <c r="J75" s="100"/>
      <c r="K75" s="100">
        <f t="shared" si="5"/>
        <v>5.5</v>
      </c>
      <c r="L75" s="100">
        <f t="shared" si="5"/>
        <v>1.2</v>
      </c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</row>
    <row r="76" spans="1:25">
      <c r="A76" s="100"/>
      <c r="B76" s="100"/>
      <c r="C76" s="100"/>
      <c r="D76" s="100"/>
      <c r="E76" s="100"/>
      <c r="F76" s="100"/>
      <c r="G76" s="100"/>
      <c r="H76" s="283"/>
      <c r="I76" s="283">
        <v>3</v>
      </c>
      <c r="J76" s="100"/>
      <c r="K76" s="100">
        <f t="shared" si="5"/>
        <v>4.5</v>
      </c>
      <c r="L76" s="100">
        <f t="shared" si="5"/>
        <v>3.5</v>
      </c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</row>
    <row r="77" spans="1:25">
      <c r="A77" s="100"/>
      <c r="B77" s="100"/>
      <c r="C77" s="100"/>
      <c r="D77" s="100"/>
      <c r="E77" s="100"/>
      <c r="F77" s="100"/>
      <c r="G77" s="100"/>
      <c r="H77" s="283"/>
      <c r="I77" s="283"/>
      <c r="J77" s="100"/>
      <c r="K77" s="100">
        <f t="shared" si="5"/>
        <v>6</v>
      </c>
      <c r="L77" s="100">
        <f t="shared" si="5"/>
        <v>0.5</v>
      </c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</row>
    <row r="78" spans="1:25">
      <c r="A78" s="100"/>
      <c r="B78" s="100"/>
      <c r="C78" s="100"/>
      <c r="D78" s="100"/>
      <c r="E78" s="100"/>
      <c r="F78" s="100"/>
      <c r="G78" s="100"/>
      <c r="H78" s="283"/>
      <c r="I78" s="283"/>
      <c r="J78" s="100"/>
      <c r="K78" s="100">
        <f t="shared" si="5"/>
        <v>8.5</v>
      </c>
      <c r="L78" s="100">
        <f t="shared" si="5"/>
        <v>0.6</v>
      </c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</row>
    <row r="79" spans="1:25">
      <c r="H79" s="286">
        <f>SUM(H15:H76)</f>
        <v>1137.3200000000002</v>
      </c>
      <c r="I79" s="286"/>
      <c r="K79" s="100">
        <f t="shared" si="5"/>
        <v>8</v>
      </c>
      <c r="L79" s="100">
        <f t="shared" si="5"/>
        <v>1</v>
      </c>
    </row>
    <row r="80" spans="1:25">
      <c r="K80" s="100">
        <f t="shared" si="5"/>
        <v>5</v>
      </c>
      <c r="L80" s="100">
        <f t="shared" si="5"/>
        <v>2</v>
      </c>
    </row>
    <row r="81" spans="11:12">
      <c r="K81" s="100">
        <f t="shared" si="5"/>
        <v>5.5</v>
      </c>
      <c r="L81" s="100">
        <f t="shared" si="5"/>
        <v>0.12</v>
      </c>
    </row>
    <row r="82" spans="11:12">
      <c r="K82" s="100">
        <f t="shared" si="5"/>
        <v>7.5</v>
      </c>
      <c r="L82" s="100">
        <f t="shared" si="5"/>
        <v>1</v>
      </c>
    </row>
    <row r="83" spans="11:12">
      <c r="K83" s="100">
        <f t="shared" si="5"/>
        <v>6.42</v>
      </c>
      <c r="L83" s="100">
        <f t="shared" si="5"/>
        <v>8</v>
      </c>
    </row>
    <row r="84" spans="11:12">
      <c r="K84" s="100">
        <f t="shared" si="5"/>
        <v>9.5</v>
      </c>
      <c r="L84" s="100">
        <f t="shared" si="5"/>
        <v>16</v>
      </c>
    </row>
    <row r="85" spans="11:12">
      <c r="K85" s="100">
        <f t="shared" si="5"/>
        <v>8</v>
      </c>
      <c r="L85" s="100">
        <f t="shared" si="5"/>
        <v>30</v>
      </c>
    </row>
    <row r="86" spans="11:12">
      <c r="K86" s="100">
        <f t="shared" si="5"/>
        <v>9.1999999999999993</v>
      </c>
      <c r="L86" s="100">
        <f t="shared" si="5"/>
        <v>9</v>
      </c>
    </row>
    <row r="87" spans="11:12">
      <c r="K87" s="100">
        <f t="shared" si="5"/>
        <v>6</v>
      </c>
      <c r="L87" s="100">
        <f t="shared" si="5"/>
        <v>2</v>
      </c>
    </row>
    <row r="88" spans="11:12">
      <c r="K88" s="100">
        <f t="shared" si="5"/>
        <v>33</v>
      </c>
      <c r="L88" s="100">
        <f t="shared" si="5"/>
        <v>2</v>
      </c>
    </row>
    <row r="89" spans="11:12">
      <c r="K89" s="100">
        <f t="shared" si="5"/>
        <v>1.2</v>
      </c>
      <c r="L89" s="100">
        <f t="shared" si="5"/>
        <v>0.5</v>
      </c>
    </row>
    <row r="90" spans="11:12">
      <c r="K90" s="100">
        <f t="shared" si="5"/>
        <v>3</v>
      </c>
      <c r="L90" s="100">
        <f t="shared" si="5"/>
        <v>2</v>
      </c>
    </row>
    <row r="91" spans="11:12">
      <c r="K91" s="100">
        <f t="shared" si="5"/>
        <v>1</v>
      </c>
      <c r="L91" s="100">
        <f t="shared" si="5"/>
        <v>0.6</v>
      </c>
    </row>
    <row r="92" spans="11:12">
      <c r="K92" s="100">
        <f t="shared" si="5"/>
        <v>1</v>
      </c>
      <c r="L92" s="100">
        <f t="shared" si="5"/>
        <v>1.5</v>
      </c>
    </row>
    <row r="93" spans="11:12">
      <c r="K93" s="100">
        <f t="shared" si="5"/>
        <v>4.5</v>
      </c>
      <c r="L93" s="100">
        <f t="shared" si="5"/>
        <v>0.5</v>
      </c>
    </row>
    <row r="94" spans="11:12">
      <c r="K94" s="100">
        <f t="shared" si="5"/>
        <v>9</v>
      </c>
      <c r="L94" s="100">
        <f t="shared" ref="L94:L103" si="6">I67</f>
        <v>0.5</v>
      </c>
    </row>
    <row r="95" spans="11:12">
      <c r="K95" s="100"/>
      <c r="L95" s="100">
        <f t="shared" si="6"/>
        <v>1</v>
      </c>
    </row>
    <row r="96" spans="11:12">
      <c r="K96" s="100"/>
      <c r="L96" s="100">
        <f t="shared" si="6"/>
        <v>1.2</v>
      </c>
    </row>
    <row r="97" spans="11:12">
      <c r="K97" s="100"/>
      <c r="L97" s="100">
        <f t="shared" si="6"/>
        <v>0.5</v>
      </c>
    </row>
    <row r="98" spans="11:12">
      <c r="K98" s="100"/>
      <c r="L98" s="100">
        <f t="shared" si="6"/>
        <v>1.2</v>
      </c>
    </row>
    <row r="99" spans="11:12">
      <c r="K99" s="100"/>
      <c r="L99" s="100">
        <f t="shared" si="6"/>
        <v>3</v>
      </c>
    </row>
    <row r="100" spans="11:12">
      <c r="K100" s="100"/>
      <c r="L100" s="100">
        <f t="shared" si="6"/>
        <v>1.2</v>
      </c>
    </row>
    <row r="101" spans="11:12">
      <c r="K101" s="100"/>
      <c r="L101" s="100">
        <f t="shared" si="6"/>
        <v>0.2</v>
      </c>
    </row>
    <row r="102" spans="11:12">
      <c r="K102" s="100"/>
      <c r="L102" s="100">
        <f t="shared" si="6"/>
        <v>0.5</v>
      </c>
    </row>
    <row r="103" spans="11:12">
      <c r="K103" s="100"/>
      <c r="L103" s="100">
        <f t="shared" si="6"/>
        <v>3</v>
      </c>
    </row>
    <row r="104" spans="11:12">
      <c r="K104" s="100"/>
      <c r="L104" s="100"/>
    </row>
    <row r="105" spans="11:12">
      <c r="K105" s="100"/>
    </row>
    <row r="106" spans="11:12">
      <c r="K106" s="100">
        <f>SUM(K65:K94)</f>
        <v>195.32</v>
      </c>
      <c r="L106" s="100">
        <f>SUM(L65:L105)</f>
        <v>110.93</v>
      </c>
    </row>
    <row r="107" spans="11:12">
      <c r="K107" s="100"/>
    </row>
    <row r="108" spans="11:12">
      <c r="K108" s="100"/>
    </row>
    <row r="109" spans="11:12">
      <c r="K109" s="100"/>
    </row>
    <row r="110" spans="11:12">
      <c r="K110" s="100"/>
    </row>
    <row r="111" spans="11:12">
      <c r="K111" s="100"/>
    </row>
    <row r="112" spans="11:12">
      <c r="K112" s="100"/>
    </row>
    <row r="113" spans="11:11">
      <c r="K113" s="100"/>
    </row>
    <row r="114" spans="11:11">
      <c r="K114" s="100"/>
    </row>
    <row r="115" spans="11:11">
      <c r="K115" s="100"/>
    </row>
    <row r="116" spans="11:11">
      <c r="K116" s="100"/>
    </row>
    <row r="117" spans="11:11">
      <c r="K117" s="100"/>
    </row>
    <row r="118" spans="11:11">
      <c r="K118" s="100"/>
    </row>
    <row r="119" spans="11:11">
      <c r="K119" s="100"/>
    </row>
    <row r="120" spans="11:11">
      <c r="K120" s="100"/>
    </row>
    <row r="121" spans="11:11">
      <c r="K121" s="100"/>
    </row>
    <row r="122" spans="11:11">
      <c r="K122" s="100"/>
    </row>
    <row r="123" spans="11:11">
      <c r="K123" s="100"/>
    </row>
    <row r="124" spans="11:11">
      <c r="K124" s="100"/>
    </row>
    <row r="125" spans="11:11">
      <c r="K125" s="100"/>
    </row>
    <row r="126" spans="11:11">
      <c r="K126" s="100"/>
    </row>
    <row r="127" spans="11:11">
      <c r="K127" s="100"/>
    </row>
    <row r="128" spans="11:11">
      <c r="K128" s="100"/>
    </row>
    <row r="129" spans="11:11">
      <c r="K129" s="100"/>
    </row>
    <row r="130" spans="11:11">
      <c r="K130" s="100"/>
    </row>
    <row r="131" spans="11:11">
      <c r="K131" s="100"/>
    </row>
    <row r="132" spans="11:11">
      <c r="K132" s="100"/>
    </row>
    <row r="133" spans="11:11">
      <c r="K133" s="100"/>
    </row>
    <row r="134" spans="11:11">
      <c r="K134" s="100"/>
    </row>
    <row r="135" spans="11:11">
      <c r="K135" s="100"/>
    </row>
    <row r="136" spans="11:11">
      <c r="K136" s="100"/>
    </row>
    <row r="137" spans="11:11">
      <c r="K137" s="100"/>
    </row>
    <row r="138" spans="11:11">
      <c r="K138" s="100"/>
    </row>
    <row r="139" spans="11:11">
      <c r="K139" s="100"/>
    </row>
    <row r="140" spans="11:11">
      <c r="K140" s="100"/>
    </row>
    <row r="141" spans="11:11">
      <c r="K141" s="100"/>
    </row>
    <row r="142" spans="11:11">
      <c r="K142" s="100"/>
    </row>
    <row r="143" spans="11:11">
      <c r="K143" s="100"/>
    </row>
    <row r="144" spans="11:11">
      <c r="K144" s="100"/>
    </row>
    <row r="145" spans="11:11">
      <c r="K145" s="100"/>
    </row>
    <row r="146" spans="11:11">
      <c r="K146" s="100"/>
    </row>
    <row r="147" spans="11:11">
      <c r="K147" s="100"/>
    </row>
    <row r="148" spans="11:11">
      <c r="K148" s="100"/>
    </row>
    <row r="149" spans="11:11">
      <c r="K149" s="100"/>
    </row>
    <row r="150" spans="11:11">
      <c r="K150" s="100"/>
    </row>
    <row r="151" spans="11:11">
      <c r="K151" s="100"/>
    </row>
    <row r="152" spans="11:11">
      <c r="K152" s="100"/>
    </row>
    <row r="153" spans="11:11">
      <c r="K153" s="100"/>
    </row>
    <row r="154" spans="11:11">
      <c r="K154" s="100"/>
    </row>
    <row r="155" spans="11:11">
      <c r="K155" s="100"/>
    </row>
    <row r="156" spans="11:11">
      <c r="K156" s="100"/>
    </row>
    <row r="157" spans="11:11">
      <c r="K157" s="100"/>
    </row>
    <row r="158" spans="11:11">
      <c r="K158" s="100"/>
    </row>
    <row r="159" spans="11:11">
      <c r="K159" s="100"/>
    </row>
    <row r="160" spans="11:11">
      <c r="K160" s="100"/>
    </row>
    <row r="161" spans="11:11">
      <c r="K161" s="100"/>
    </row>
    <row r="162" spans="11:11">
      <c r="K162" s="100"/>
    </row>
    <row r="163" spans="11:11">
      <c r="K163" s="100"/>
    </row>
    <row r="164" spans="11:11">
      <c r="K164" s="100"/>
    </row>
    <row r="165" spans="11:11">
      <c r="K165" s="100"/>
    </row>
    <row r="166" spans="11:11">
      <c r="K166" s="100"/>
    </row>
    <row r="167" spans="11:11">
      <c r="K167" s="100"/>
    </row>
    <row r="168" spans="11:11">
      <c r="K168" s="100"/>
    </row>
    <row r="169" spans="11:11">
      <c r="K169" s="100"/>
    </row>
    <row r="170" spans="11:11">
      <c r="K170" s="100"/>
    </row>
    <row r="171" spans="11:11">
      <c r="K171" s="100"/>
    </row>
    <row r="172" spans="11:11">
      <c r="K172" s="100"/>
    </row>
    <row r="173" spans="11:11">
      <c r="K173" s="100"/>
    </row>
    <row r="174" spans="11:11">
      <c r="K174" s="100"/>
    </row>
    <row r="175" spans="11:11">
      <c r="K175" s="100"/>
    </row>
    <row r="176" spans="11:11">
      <c r="K176" s="100"/>
    </row>
    <row r="177" spans="11:11">
      <c r="K177" s="100"/>
    </row>
    <row r="178" spans="11:11">
      <c r="K178" s="100"/>
    </row>
    <row r="179" spans="11:11">
      <c r="K179" s="100"/>
    </row>
    <row r="180" spans="11:11">
      <c r="K180" s="100"/>
    </row>
    <row r="181" spans="11:11">
      <c r="K181" s="100"/>
    </row>
    <row r="182" spans="11:11">
      <c r="K182" s="100"/>
    </row>
    <row r="183" spans="11:11">
      <c r="K183" s="100"/>
    </row>
    <row r="184" spans="11:11">
      <c r="K184" s="100"/>
    </row>
    <row r="185" spans="11:11">
      <c r="K185" s="100"/>
    </row>
    <row r="186" spans="11:11">
      <c r="K186" s="100"/>
    </row>
    <row r="187" spans="11:11">
      <c r="K187" s="100"/>
    </row>
    <row r="188" spans="11:11">
      <c r="K188" s="100"/>
    </row>
    <row r="189" spans="11:11">
      <c r="K189" s="100"/>
    </row>
    <row r="190" spans="11:11">
      <c r="K190" s="100"/>
    </row>
    <row r="191" spans="11:11">
      <c r="K191" s="100"/>
    </row>
  </sheetData>
  <mergeCells count="3">
    <mergeCell ref="A1:G1"/>
    <mergeCell ref="A20:C20"/>
    <mergeCell ref="D3:D10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9113-355B-49AB-BD14-4B28028B67D4}">
  <dimension ref="A1:Y78"/>
  <sheetViews>
    <sheetView topLeftCell="A6" workbookViewId="0">
      <selection activeCell="C61" sqref="C61"/>
    </sheetView>
  </sheetViews>
  <sheetFormatPr defaultColWidth="9.140625" defaultRowHeight="15"/>
  <cols>
    <col min="1" max="1" width="13.7109375" style="101" customWidth="1"/>
    <col min="2" max="2" width="12.7109375" style="101" customWidth="1"/>
    <col min="3" max="3" width="13.5703125" style="101" bestFit="1" customWidth="1"/>
    <col min="4" max="4" width="9.5703125" style="101" bestFit="1" customWidth="1"/>
    <col min="5" max="13" width="9.140625" style="101"/>
    <col min="14" max="14" width="16" style="101" customWidth="1"/>
    <col min="15" max="15" width="18.85546875" style="101" customWidth="1"/>
    <col min="16" max="16" width="19.140625" style="101" customWidth="1"/>
    <col min="17" max="16384" width="9.140625" style="101"/>
  </cols>
  <sheetData>
    <row r="1" spans="1:25" ht="15.75">
      <c r="A1" s="339" t="s">
        <v>469</v>
      </c>
      <c r="B1" s="340"/>
      <c r="C1" s="340"/>
      <c r="D1" s="340"/>
      <c r="E1" s="340"/>
      <c r="F1" s="340"/>
      <c r="G1" s="34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ht="15.75">
      <c r="A2" s="102" t="s">
        <v>376</v>
      </c>
      <c r="B2" s="102" t="s">
        <v>380</v>
      </c>
      <c r="C2" s="103" t="s">
        <v>180</v>
      </c>
      <c r="D2" s="122" t="s">
        <v>377</v>
      </c>
      <c r="E2" s="121" t="s">
        <v>378</v>
      </c>
      <c r="F2" s="120" t="s">
        <v>379</v>
      </c>
      <c r="G2" s="119" t="s">
        <v>387</v>
      </c>
      <c r="H2" s="118" t="s">
        <v>375</v>
      </c>
      <c r="I2" s="100"/>
      <c r="J2" s="100"/>
      <c r="K2" s="100"/>
      <c r="L2" s="100"/>
      <c r="M2" s="100"/>
      <c r="N2" s="100"/>
      <c r="O2" s="100"/>
      <c r="P2" s="100">
        <v>1427789.4000000001</v>
      </c>
      <c r="Q2" s="100"/>
      <c r="R2" s="100">
        <f>164.28*2</f>
        <v>328.56</v>
      </c>
      <c r="S2" s="100"/>
      <c r="T2" s="100"/>
      <c r="U2" s="100"/>
      <c r="V2" s="100"/>
      <c r="W2" s="100"/>
      <c r="X2" s="100"/>
      <c r="Y2" s="100"/>
    </row>
    <row r="3" spans="1:25">
      <c r="A3" s="107" t="s">
        <v>381</v>
      </c>
      <c r="B3" s="104" t="s">
        <v>360</v>
      </c>
      <c r="C3" s="105">
        <v>1</v>
      </c>
      <c r="D3" s="111">
        <f>(37*2)+45+117+39+7.12</f>
        <v>282.12</v>
      </c>
      <c r="E3" s="110">
        <v>21</v>
      </c>
      <c r="F3" s="350">
        <v>88.23</v>
      </c>
      <c r="G3" s="108">
        <v>24.36</v>
      </c>
      <c r="H3" s="123"/>
      <c r="I3" s="100"/>
      <c r="J3" s="100">
        <v>31.71</v>
      </c>
      <c r="K3" s="100" t="s">
        <v>433</v>
      </c>
      <c r="L3" s="100"/>
      <c r="M3" s="100">
        <f>J3/J7</f>
        <v>1.411785447791097E-2</v>
      </c>
      <c r="N3" s="100">
        <f>P3*M3</f>
        <v>20157.322974303821</v>
      </c>
      <c r="O3" s="278">
        <f>Q3*M3</f>
        <v>12706.069030119874</v>
      </c>
      <c r="P3" s="100">
        <v>1427789.4000000001</v>
      </c>
      <c r="Q3" s="100">
        <v>900000</v>
      </c>
      <c r="R3" s="100">
        <f>61.06*2</f>
        <v>122.12</v>
      </c>
      <c r="S3" s="100"/>
      <c r="T3" s="100"/>
      <c r="U3" s="100"/>
      <c r="V3" s="100"/>
      <c r="W3" s="100"/>
      <c r="X3" s="100"/>
      <c r="Y3" s="100"/>
    </row>
    <row r="4" spans="1:25">
      <c r="A4" s="107" t="s">
        <v>382</v>
      </c>
      <c r="B4" s="104" t="s">
        <v>360</v>
      </c>
      <c r="C4" s="105">
        <v>1</v>
      </c>
      <c r="D4" s="111">
        <f>(37*2)+45+117+38+17+9.93</f>
        <v>300.93</v>
      </c>
      <c r="E4" s="110">
        <v>14.8</v>
      </c>
      <c r="F4" s="351"/>
      <c r="G4" s="108">
        <v>45</v>
      </c>
      <c r="H4" s="123"/>
      <c r="I4" s="100"/>
      <c r="J4" s="100">
        <f>D11+E9+G11</f>
        <v>2007.4299999999998</v>
      </c>
      <c r="K4" s="100" t="s">
        <v>434</v>
      </c>
      <c r="L4" s="100"/>
      <c r="M4" s="100">
        <f>J4/J7</f>
        <v>0.89374344416880525</v>
      </c>
      <c r="N4" s="100">
        <f t="shared" ref="N4:N6" si="0">P4*M4</f>
        <v>1276077.4159037122</v>
      </c>
      <c r="O4" s="278">
        <f>Q4*M4</f>
        <v>804369.09975192475</v>
      </c>
      <c r="P4" s="100">
        <v>1427789.4000000001</v>
      </c>
      <c r="Q4" s="100">
        <v>900000</v>
      </c>
      <c r="R4" s="100">
        <f>70*2</f>
        <v>140</v>
      </c>
      <c r="S4" s="100"/>
      <c r="T4" s="100"/>
      <c r="U4" s="100"/>
      <c r="V4" s="100"/>
      <c r="W4" s="100"/>
      <c r="X4" s="100"/>
      <c r="Y4" s="100"/>
    </row>
    <row r="5" spans="1:25">
      <c r="A5" s="107" t="s">
        <v>383</v>
      </c>
      <c r="B5" s="104" t="s">
        <v>360</v>
      </c>
      <c r="C5" s="105">
        <v>1</v>
      </c>
      <c r="D5" s="111">
        <f>(37*2)+45+117+38</f>
        <v>274</v>
      </c>
      <c r="E5" s="110">
        <v>14.8</v>
      </c>
      <c r="F5" s="351"/>
      <c r="G5" s="108">
        <v>45</v>
      </c>
      <c r="H5" s="123"/>
      <c r="I5" s="100"/>
      <c r="J5" s="100">
        <f>126.32*1.1</f>
        <v>138.952</v>
      </c>
      <c r="K5" s="100" t="s">
        <v>435</v>
      </c>
      <c r="L5" s="100"/>
      <c r="M5" s="100">
        <f>J5/J7</f>
        <v>6.1863895156565277E-2</v>
      </c>
      <c r="N5" s="100">
        <f t="shared" si="0"/>
        <v>88328.613747255251</v>
      </c>
      <c r="O5" s="278">
        <f t="shared" ref="O5:O6" si="1">Q5*M5</f>
        <v>55677.505640908748</v>
      </c>
      <c r="P5" s="100">
        <v>1427789.4000000001</v>
      </c>
      <c r="Q5" s="100">
        <v>900000</v>
      </c>
      <c r="R5" s="100">
        <f>SUM(R2:R4)</f>
        <v>590.68000000000006</v>
      </c>
      <c r="S5" s="100">
        <f>R5*2</f>
        <v>1181.3600000000001</v>
      </c>
      <c r="T5" s="100"/>
      <c r="U5" s="100"/>
      <c r="V5" s="100"/>
      <c r="W5" s="100"/>
      <c r="X5" s="100"/>
      <c r="Y5" s="100"/>
    </row>
    <row r="6" spans="1:25">
      <c r="A6" s="107" t="s">
        <v>384</v>
      </c>
      <c r="B6" s="104" t="s">
        <v>360</v>
      </c>
      <c r="C6" s="105">
        <v>1</v>
      </c>
      <c r="D6" s="111">
        <f t="shared" ref="D6" si="2">(37*2)+45+117+38</f>
        <v>274</v>
      </c>
      <c r="E6" s="110">
        <v>14.8</v>
      </c>
      <c r="F6" s="351"/>
      <c r="G6" s="108">
        <v>45</v>
      </c>
      <c r="H6" s="123"/>
      <c r="J6" s="101">
        <f>F13</f>
        <v>68</v>
      </c>
      <c r="K6" s="101" t="s">
        <v>436</v>
      </c>
      <c r="L6" s="101" t="s">
        <v>437</v>
      </c>
      <c r="M6" s="101">
        <f>J6/J7</f>
        <v>3.0274806196718573E-2</v>
      </c>
      <c r="N6" s="100">
        <f t="shared" si="0"/>
        <v>43226.047374729096</v>
      </c>
      <c r="O6" s="278">
        <f t="shared" si="1"/>
        <v>27247.325577046715</v>
      </c>
      <c r="P6" s="100">
        <v>1427789.4000000001</v>
      </c>
      <c r="Q6" s="100">
        <v>900000</v>
      </c>
    </row>
    <row r="7" spans="1:25">
      <c r="A7" s="107" t="s">
        <v>385</v>
      </c>
      <c r="B7" s="104" t="s">
        <v>360</v>
      </c>
      <c r="C7" s="105">
        <v>1</v>
      </c>
      <c r="D7" s="111">
        <f>(22*2)+(3.8*3)+(6.8*4)+11.34+38</f>
        <v>131.94</v>
      </c>
      <c r="E7" s="110">
        <v>17</v>
      </c>
      <c r="F7" s="351"/>
      <c r="G7" s="108">
        <v>45</v>
      </c>
      <c r="H7" s="123"/>
      <c r="I7" s="100"/>
      <c r="J7" s="100">
        <f>J3+J4+J5+J6</f>
        <v>2246.0919999999996</v>
      </c>
      <c r="K7" s="100"/>
      <c r="L7" s="100"/>
      <c r="M7" s="100"/>
      <c r="N7" s="100"/>
      <c r="O7" s="100"/>
      <c r="P7" s="100"/>
      <c r="Q7" s="100"/>
      <c r="R7" s="100">
        <f>R5/C43</f>
        <v>193.03267973856211</v>
      </c>
      <c r="S7" s="100">
        <f>S5/C43</f>
        <v>386.06535947712422</v>
      </c>
      <c r="T7" s="100"/>
      <c r="U7" s="100"/>
      <c r="V7" s="100"/>
      <c r="W7" s="100"/>
      <c r="X7" s="100"/>
      <c r="Y7" s="100"/>
    </row>
    <row r="8" spans="1:25" ht="30">
      <c r="A8" s="114" t="s">
        <v>388</v>
      </c>
      <c r="B8" s="104" t="s">
        <v>360</v>
      </c>
      <c r="C8" s="105">
        <v>1</v>
      </c>
      <c r="D8" s="112">
        <f>32.74+1+38.87+(17.48*3)</f>
        <v>125.05</v>
      </c>
      <c r="E8" s="110"/>
      <c r="F8" s="351"/>
      <c r="G8" s="108"/>
      <c r="H8" s="123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</row>
    <row r="9" spans="1:25">
      <c r="A9" s="107" t="s">
        <v>309</v>
      </c>
      <c r="B9" s="104" t="s">
        <v>360</v>
      </c>
      <c r="C9" s="105">
        <v>1</v>
      </c>
      <c r="D9" s="111">
        <f>(16.78*2)+24+45</f>
        <v>102.56</v>
      </c>
      <c r="E9" s="110">
        <f>12.97+18.1+(27.52*8)+(0.88*8)</f>
        <v>258.27</v>
      </c>
      <c r="F9" s="351"/>
      <c r="G9" s="108"/>
      <c r="H9" s="123"/>
      <c r="I9" s="100"/>
      <c r="J9" s="100"/>
      <c r="K9" s="100">
        <v>1515.7</v>
      </c>
      <c r="L9" s="100">
        <f>S7*K9</f>
        <v>585159.26535947714</v>
      </c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5">
      <c r="A10" s="107" t="s">
        <v>386</v>
      </c>
      <c r="B10" s="104" t="s">
        <v>360</v>
      </c>
      <c r="C10" s="105">
        <v>1</v>
      </c>
      <c r="D10" s="111">
        <f>17.79+2.51+4.23+13+16.67</f>
        <v>54.2</v>
      </c>
      <c r="E10" s="110"/>
      <c r="F10" s="352"/>
      <c r="G10" s="108"/>
      <c r="H10" s="123"/>
      <c r="I10" s="100"/>
      <c r="J10" s="100"/>
      <c r="K10" s="100"/>
      <c r="L10" s="100">
        <f>1.1*L9</f>
        <v>643675.19189542485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5" ht="15.75">
      <c r="A11" s="115" t="s">
        <v>389</v>
      </c>
      <c r="B11" s="116" t="s">
        <v>360</v>
      </c>
      <c r="C11" s="117"/>
      <c r="D11" s="115">
        <f>SUM(D3:D10)</f>
        <v>1544.8</v>
      </c>
      <c r="E11" s="115">
        <f>SUM(E3:E10)</f>
        <v>340.66999999999996</v>
      </c>
      <c r="F11" s="115">
        <f>SUM(F3:F10)</f>
        <v>88.23</v>
      </c>
      <c r="G11" s="115">
        <f>SUM(G3:G10)</f>
        <v>204.36</v>
      </c>
      <c r="H11" s="115">
        <f>SUM(H3:H10)</f>
        <v>0</v>
      </c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</row>
    <row r="12" spans="1:25" ht="15.75">
      <c r="A12" s="99" t="s">
        <v>390</v>
      </c>
      <c r="B12" s="106" t="s">
        <v>360</v>
      </c>
      <c r="C12" s="98"/>
      <c r="D12" s="99">
        <f>D11*0.1+D11</f>
        <v>1699.28</v>
      </c>
      <c r="E12" s="99">
        <f>E11*0.1+E11</f>
        <v>374.73699999999997</v>
      </c>
      <c r="F12" s="99">
        <f>F11*0.1+F11</f>
        <v>97.052999999999997</v>
      </c>
      <c r="G12" s="99">
        <f>G11*0.1+G11</f>
        <v>224.79600000000002</v>
      </c>
      <c r="H12" s="99">
        <f>H11*0.1+H11</f>
        <v>0</v>
      </c>
      <c r="I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5" ht="15.75">
      <c r="A13" s="100" t="s">
        <v>392</v>
      </c>
      <c r="B13" s="100"/>
      <c r="C13" s="100"/>
      <c r="D13" s="118">
        <v>1700</v>
      </c>
      <c r="E13" s="118">
        <v>375</v>
      </c>
      <c r="F13" s="118">
        <v>68</v>
      </c>
      <c r="G13" s="118">
        <v>225</v>
      </c>
      <c r="H13" s="100"/>
      <c r="I13" s="100"/>
      <c r="J13" s="100"/>
      <c r="K13" s="100"/>
      <c r="L13" s="100"/>
      <c r="M13" s="100"/>
      <c r="N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</row>
    <row r="14" spans="1: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1:25">
      <c r="A15" s="100"/>
      <c r="B15" s="100"/>
      <c r="C15" s="100"/>
      <c r="D15" s="113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</row>
    <row r="16" spans="1:25" ht="15.75">
      <c r="A16" s="104" t="s">
        <v>391</v>
      </c>
      <c r="B16" s="99">
        <f>D12+E12+F12+G12</f>
        <v>2395.8659999999995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>
        <v>2247</v>
      </c>
      <c r="N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  <row r="18" spans="1:25">
      <c r="A18" s="100"/>
      <c r="B18" s="100"/>
      <c r="C18" s="100"/>
      <c r="D18" s="100"/>
      <c r="F18" s="100"/>
      <c r="G18" s="100"/>
      <c r="H18" s="100"/>
      <c r="I18" s="100"/>
      <c r="J18" s="100"/>
      <c r="K18" s="100"/>
      <c r="L18" s="100"/>
      <c r="M18" s="100"/>
      <c r="N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</row>
    <row r="19" spans="1:25" hidden="1">
      <c r="A19" s="269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1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</row>
    <row r="20" spans="1:25" ht="15.75" hidden="1" thickBot="1">
      <c r="A20" s="344" t="s">
        <v>438</v>
      </c>
      <c r="B20" s="345"/>
      <c r="C20" s="346"/>
      <c r="D20" s="267" t="s">
        <v>444</v>
      </c>
      <c r="E20" s="268">
        <f>11*20</f>
        <v>220</v>
      </c>
      <c r="F20" s="100"/>
      <c r="G20" s="100"/>
      <c r="H20" s="100"/>
      <c r="I20" s="100"/>
      <c r="J20" s="100"/>
      <c r="K20" s="100"/>
      <c r="L20" s="100"/>
      <c r="M20" s="272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</row>
    <row r="21" spans="1:25" hidden="1">
      <c r="A21" s="273" t="s">
        <v>439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27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</row>
    <row r="22" spans="1:25" hidden="1">
      <c r="A22" s="273" t="s">
        <v>440</v>
      </c>
      <c r="B22" s="100">
        <v>7</v>
      </c>
      <c r="C22" s="100">
        <v>11</v>
      </c>
      <c r="D22" s="100">
        <f>C22*B22</f>
        <v>77</v>
      </c>
      <c r="E22" s="100">
        <v>1700</v>
      </c>
      <c r="F22" s="100">
        <f>E22*D22</f>
        <v>130900</v>
      </c>
      <c r="G22" s="100"/>
      <c r="H22" s="100"/>
      <c r="I22" s="100"/>
      <c r="J22" s="100"/>
      <c r="K22" s="100"/>
      <c r="L22" s="100"/>
      <c r="M22" s="272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</row>
    <row r="23" spans="1:25" hidden="1">
      <c r="A23" s="273" t="s">
        <v>441</v>
      </c>
      <c r="B23" s="100">
        <v>12</v>
      </c>
      <c r="C23" s="100">
        <v>11</v>
      </c>
      <c r="D23" s="100">
        <f>C23*B23</f>
        <v>132</v>
      </c>
      <c r="E23" s="100">
        <v>380</v>
      </c>
      <c r="F23" s="100">
        <f>E23*D23</f>
        <v>50160</v>
      </c>
      <c r="G23" s="100"/>
      <c r="H23" s="100"/>
      <c r="I23" s="100"/>
      <c r="J23" s="100"/>
      <c r="K23" s="100"/>
      <c r="L23" s="100"/>
      <c r="M23" s="27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</row>
    <row r="24" spans="1:25" hidden="1">
      <c r="A24" s="273" t="s">
        <v>442</v>
      </c>
      <c r="B24" s="100">
        <v>7</v>
      </c>
      <c r="C24" s="100">
        <v>11</v>
      </c>
      <c r="D24" s="100">
        <f>C24*B24</f>
        <v>77</v>
      </c>
      <c r="E24" s="100">
        <v>40</v>
      </c>
      <c r="F24" s="100">
        <f>E24*D24</f>
        <v>3080</v>
      </c>
      <c r="G24" s="100"/>
      <c r="H24" s="100"/>
      <c r="I24" s="100"/>
      <c r="J24" s="100"/>
      <c r="K24" s="100"/>
      <c r="L24" s="100"/>
      <c r="M24" s="272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</row>
    <row r="25" spans="1:25" hidden="1">
      <c r="A25" s="273" t="s">
        <v>443</v>
      </c>
      <c r="B25" s="100">
        <v>6</v>
      </c>
      <c r="C25" s="100">
        <v>11</v>
      </c>
      <c r="D25" s="100">
        <f>B25*C25</f>
        <v>66</v>
      </c>
      <c r="E25" s="100">
        <v>350</v>
      </c>
      <c r="F25" s="100">
        <f>E25*D25</f>
        <v>23100</v>
      </c>
      <c r="G25" s="100"/>
      <c r="H25" s="100"/>
      <c r="I25" s="100"/>
      <c r="J25" s="100"/>
      <c r="K25" s="100"/>
      <c r="L25" s="100"/>
      <c r="M25" s="27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</row>
    <row r="26" spans="1:25" hidden="1">
      <c r="A26" s="273"/>
      <c r="B26" s="100"/>
      <c r="C26" s="100"/>
      <c r="D26" s="100"/>
      <c r="E26" s="100"/>
      <c r="F26" s="100">
        <f>SUM(F22:F25)</f>
        <v>207240</v>
      </c>
      <c r="G26" s="100"/>
      <c r="H26" s="100">
        <f>F26/E20</f>
        <v>942</v>
      </c>
      <c r="I26" s="100">
        <v>600</v>
      </c>
      <c r="J26" s="100"/>
      <c r="K26" s="100"/>
      <c r="L26" s="100"/>
      <c r="M26" s="272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</row>
    <row r="27" spans="1:25" hidden="1">
      <c r="A27" s="273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27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5" hidden="1">
      <c r="A28" s="273" t="s">
        <v>445</v>
      </c>
      <c r="B28" s="100" t="s">
        <v>444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272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</row>
    <row r="29" spans="1:25" hidden="1">
      <c r="A29" s="273"/>
      <c r="B29" s="100">
        <f>21*20</f>
        <v>420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27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1:25" hidden="1">
      <c r="A30" s="273" t="s">
        <v>446</v>
      </c>
      <c r="B30" s="100">
        <f>10.7*20</f>
        <v>214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272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</row>
    <row r="31" spans="1:25" hidden="1">
      <c r="A31" s="273"/>
      <c r="B31" s="100">
        <f>3*20</f>
        <v>60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27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1:25" hidden="1">
      <c r="A32" s="273"/>
      <c r="B32" s="100">
        <f>5.4*15</f>
        <v>81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272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</row>
    <row r="33" spans="1:25" hidden="1">
      <c r="A33" s="273"/>
      <c r="B33" s="100">
        <f>12*4</f>
        <v>48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27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</row>
    <row r="34" spans="1:25" hidden="1">
      <c r="A34" s="273"/>
      <c r="B34" s="100">
        <f>8*15</f>
        <v>120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272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</row>
    <row r="35" spans="1:25" hidden="1">
      <c r="A35" s="273"/>
      <c r="B35" s="100">
        <f>8.2*15</f>
        <v>122.99999999999999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27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hidden="1">
      <c r="A36" s="273"/>
      <c r="B36" s="100">
        <f>19*7.25</f>
        <v>137.75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272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</row>
    <row r="37" spans="1:25" hidden="1">
      <c r="A37" s="273"/>
      <c r="B37" s="100">
        <f>5.4*5</f>
        <v>27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272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</row>
    <row r="38" spans="1:25" hidden="1">
      <c r="A38" s="273"/>
      <c r="B38" s="100">
        <f>3*5.4</f>
        <v>16.200000000000003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27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</row>
    <row r="39" spans="1:25" hidden="1">
      <c r="A39" s="273"/>
      <c r="B39" s="100">
        <f>6.5*7.5</f>
        <v>48.75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272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</row>
    <row r="40" spans="1:25" hidden="1">
      <c r="A40" s="273"/>
      <c r="B40" s="100">
        <v>220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27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</row>
    <row r="41" spans="1:25" ht="15.75" hidden="1" thickBot="1">
      <c r="A41" s="274"/>
      <c r="B41" s="275">
        <f>SUM(B29:B40)</f>
        <v>1515.7</v>
      </c>
      <c r="C41" s="275">
        <f>H26*B41</f>
        <v>1427789.4000000001</v>
      </c>
      <c r="D41" s="275">
        <f>B41*I26</f>
        <v>909420</v>
      </c>
      <c r="E41" s="275"/>
      <c r="F41" s="275"/>
      <c r="G41" s="275"/>
      <c r="H41" s="275"/>
      <c r="I41" s="275"/>
      <c r="J41" s="275"/>
      <c r="K41" s="275"/>
      <c r="L41" s="275"/>
      <c r="M41" s="276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</row>
    <row r="42" spans="1: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</row>
    <row r="43" spans="1:25">
      <c r="A43" s="100">
        <v>1.7</v>
      </c>
      <c r="B43" s="100">
        <v>1.8</v>
      </c>
      <c r="C43" s="100">
        <f>A43*B43</f>
        <v>3.06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 t="s">
        <v>427</v>
      </c>
      <c r="N43" s="100"/>
      <c r="O43" s="100" t="s">
        <v>464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</row>
    <row r="44" spans="1: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1" t="s">
        <v>428</v>
      </c>
      <c r="N44" s="100"/>
      <c r="O44" s="100" t="s">
        <v>465</v>
      </c>
      <c r="P44" s="100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1: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 t="s">
        <v>430</v>
      </c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</row>
    <row r="46" spans="1: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 t="s">
        <v>431</v>
      </c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</row>
    <row r="47" spans="1: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 t="s">
        <v>459</v>
      </c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</row>
    <row r="48" spans="1:25">
      <c r="A48" s="100" t="s">
        <v>447</v>
      </c>
      <c r="B48" s="100"/>
      <c r="C48" s="100"/>
      <c r="D48" s="100"/>
      <c r="E48" s="100"/>
      <c r="F48" s="100"/>
      <c r="G48" s="100"/>
      <c r="H48" s="100"/>
      <c r="I48" s="100"/>
      <c r="K48" s="100"/>
      <c r="L48" s="100"/>
      <c r="M48" s="100" t="s">
        <v>432</v>
      </c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</row>
    <row r="49" spans="1:25">
      <c r="A49" s="100"/>
      <c r="B49" s="100" t="s">
        <v>98</v>
      </c>
      <c r="C49" s="100" t="s">
        <v>451</v>
      </c>
      <c r="D49" s="100" t="s">
        <v>454</v>
      </c>
      <c r="E49" s="100"/>
      <c r="F49" s="100"/>
      <c r="G49" s="100"/>
      <c r="H49" s="100"/>
      <c r="I49" s="100"/>
      <c r="J49" s="100"/>
      <c r="K49" s="100"/>
      <c r="L49" s="100"/>
      <c r="M49" s="100" t="s">
        <v>429</v>
      </c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</row>
    <row r="50" spans="1:25">
      <c r="A50" s="100" t="s">
        <v>448</v>
      </c>
      <c r="B50" s="100">
        <f>13*20*2</f>
        <v>520</v>
      </c>
      <c r="C50" s="277">
        <f>B50/6</f>
        <v>86.666666666666671</v>
      </c>
      <c r="D50" s="100">
        <v>900</v>
      </c>
      <c r="E50" s="100">
        <f>D50*C50</f>
        <v>78000</v>
      </c>
      <c r="F50" s="100"/>
      <c r="G50" s="100"/>
      <c r="H50" s="100"/>
      <c r="I50" s="100"/>
      <c r="J50" s="100"/>
      <c r="K50" s="100"/>
      <c r="L50" s="100"/>
      <c r="M50" s="100" t="s">
        <v>460</v>
      </c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</row>
    <row r="51" spans="1:25">
      <c r="A51" s="100" t="s">
        <v>449</v>
      </c>
      <c r="B51" s="100">
        <f>2*11*20</f>
        <v>440</v>
      </c>
      <c r="C51" s="277">
        <f t="shared" ref="C51:C52" si="3">B51/6</f>
        <v>73.333333333333329</v>
      </c>
      <c r="D51" s="100">
        <v>900</v>
      </c>
      <c r="E51" s="100">
        <f t="shared" ref="E51:E52" si="4">D51*C51</f>
        <v>66000</v>
      </c>
      <c r="F51" s="100"/>
      <c r="G51" s="100"/>
      <c r="H51" s="100"/>
      <c r="I51" s="100"/>
      <c r="J51" s="100"/>
      <c r="K51" s="100"/>
      <c r="L51" s="100"/>
      <c r="M51" s="100" t="s">
        <v>461</v>
      </c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</row>
    <row r="52" spans="1:25">
      <c r="A52" s="100" t="s">
        <v>450</v>
      </c>
      <c r="B52" s="100">
        <f>143*1.5*2</f>
        <v>429</v>
      </c>
      <c r="C52" s="277">
        <f t="shared" si="3"/>
        <v>71.5</v>
      </c>
      <c r="D52" s="100">
        <v>900</v>
      </c>
      <c r="E52" s="100">
        <f t="shared" si="4"/>
        <v>64350</v>
      </c>
      <c r="F52" s="100"/>
      <c r="G52" s="100"/>
      <c r="H52" s="100"/>
      <c r="I52" s="100"/>
      <c r="J52" s="100"/>
      <c r="K52" s="100"/>
      <c r="L52" s="100"/>
      <c r="M52" s="100" t="s">
        <v>462</v>
      </c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</row>
    <row r="53" spans="1:25">
      <c r="A53" s="100"/>
      <c r="B53" s="100"/>
      <c r="C53" s="277">
        <f>SUM(C50:C52)</f>
        <v>231.5</v>
      </c>
      <c r="D53" s="100"/>
      <c r="E53" s="100">
        <f>SUM(E50:E52)</f>
        <v>208350</v>
      </c>
      <c r="F53" s="100"/>
      <c r="G53" s="100"/>
      <c r="H53" s="100"/>
      <c r="I53" s="100"/>
      <c r="J53" s="100"/>
      <c r="K53" s="100"/>
      <c r="L53" s="100"/>
      <c r="M53" s="100" t="s">
        <v>463</v>
      </c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</row>
    <row r="54" spans="1:25">
      <c r="A54" s="100" t="s">
        <v>452</v>
      </c>
      <c r="B54" s="100" t="s">
        <v>453</v>
      </c>
      <c r="C54" s="100" t="s">
        <v>454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</row>
    <row r="55" spans="1:25">
      <c r="A55" s="100"/>
      <c r="B55" s="100">
        <v>256</v>
      </c>
      <c r="C55" s="100">
        <v>75</v>
      </c>
      <c r="D55" s="100">
        <f>C55*B55</f>
        <v>19200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</row>
    <row r="56" spans="1:2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</row>
    <row r="57" spans="1:25">
      <c r="A57" s="100" t="s">
        <v>455</v>
      </c>
      <c r="B57" s="101" t="s">
        <v>98</v>
      </c>
      <c r="C57" s="100" t="s">
        <v>456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</row>
    <row r="58" spans="1:25">
      <c r="A58" s="100"/>
      <c r="B58" s="101">
        <f>20*7</f>
        <v>140</v>
      </c>
      <c r="C58" s="100">
        <v>175</v>
      </c>
      <c r="D58" s="100">
        <f>C58*B58</f>
        <v>24500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</row>
    <row r="59" spans="1:25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</row>
    <row r="60" spans="1:25">
      <c r="A60" s="100"/>
      <c r="B60" s="100"/>
      <c r="C60" s="100"/>
      <c r="D60" s="279">
        <f>D58+D55+E53</f>
        <v>252050</v>
      </c>
      <c r="E60" s="100"/>
      <c r="F60" s="100">
        <f>20*20</f>
        <v>400</v>
      </c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</row>
    <row r="61" spans="1:25">
      <c r="A61" s="100"/>
      <c r="B61" s="100"/>
      <c r="C61" s="100"/>
      <c r="D61" s="100"/>
      <c r="E61" s="100"/>
      <c r="F61" s="100">
        <f>D60/F60</f>
        <v>630.125</v>
      </c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</row>
    <row r="62" spans="1:25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</row>
    <row r="63" spans="1:25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</row>
    <row r="64" spans="1:25">
      <c r="A64" s="100" t="s">
        <v>468</v>
      </c>
      <c r="B64" s="100"/>
      <c r="C64" s="100"/>
      <c r="D64" s="100"/>
      <c r="E64" s="100"/>
      <c r="F64" s="100"/>
      <c r="G64" s="100"/>
      <c r="H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</row>
    <row r="65" spans="1:25">
      <c r="A65" s="100" t="s">
        <v>467</v>
      </c>
      <c r="B65" s="100">
        <v>900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</row>
    <row r="66" spans="1:25">
      <c r="A66" s="100" t="s">
        <v>452</v>
      </c>
      <c r="B66" s="100">
        <v>75</v>
      </c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</row>
    <row r="67" spans="1:25">
      <c r="A67" s="100" t="s">
        <v>455</v>
      </c>
      <c r="B67" s="100">
        <f>180*3</f>
        <v>540</v>
      </c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</row>
    <row r="68" spans="1:25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</row>
    <row r="69" spans="1:25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</row>
    <row r="70" spans="1:25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</row>
    <row r="71" spans="1:25">
      <c r="A71" s="100"/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</row>
    <row r="72" spans="1:25">
      <c r="A72" s="100"/>
      <c r="B72" s="100"/>
      <c r="C72" s="100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</row>
    <row r="73" spans="1: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</row>
    <row r="74" spans="1:25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</row>
    <row r="75" spans="1:25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</row>
    <row r="76" spans="1:25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</row>
    <row r="77" spans="1:25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</row>
    <row r="78" spans="1:25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</row>
  </sheetData>
  <mergeCells count="3">
    <mergeCell ref="A1:G1"/>
    <mergeCell ref="A20:C20"/>
    <mergeCell ref="F3:F10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F6C1-0777-4DF9-9B56-31723504380F}">
  <dimension ref="A1:Y191"/>
  <sheetViews>
    <sheetView workbookViewId="0">
      <selection activeCell="J54" sqref="J54"/>
    </sheetView>
  </sheetViews>
  <sheetFormatPr defaultColWidth="9.140625" defaultRowHeight="15"/>
  <cols>
    <col min="1" max="1" width="13.7109375" style="101" customWidth="1"/>
    <col min="2" max="2" width="12.7109375" style="101" customWidth="1"/>
    <col min="3" max="3" width="13.5703125" style="101" bestFit="1" customWidth="1"/>
    <col min="4" max="4" width="9.5703125" style="101" bestFit="1" customWidth="1"/>
    <col min="5" max="13" width="9.140625" style="101"/>
    <col min="14" max="14" width="16" style="101" customWidth="1"/>
    <col min="15" max="15" width="18.85546875" style="101" customWidth="1"/>
    <col min="16" max="16" width="19.140625" style="101" customWidth="1"/>
    <col min="17" max="16384" width="9.140625" style="101"/>
  </cols>
  <sheetData>
    <row r="1" spans="1:25" ht="15.75">
      <c r="A1" s="339" t="s">
        <v>469</v>
      </c>
      <c r="B1" s="340"/>
      <c r="C1" s="340"/>
      <c r="D1" s="340"/>
      <c r="E1" s="340"/>
      <c r="F1" s="340"/>
      <c r="G1" s="34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ht="15.75">
      <c r="A2" s="102" t="s">
        <v>376</v>
      </c>
      <c r="B2" s="102" t="s">
        <v>380</v>
      </c>
      <c r="C2" s="103" t="s">
        <v>180</v>
      </c>
      <c r="D2" s="122" t="s">
        <v>377</v>
      </c>
      <c r="E2" s="121" t="s">
        <v>378</v>
      </c>
      <c r="F2" s="120" t="s">
        <v>379</v>
      </c>
      <c r="G2" s="119" t="s">
        <v>387</v>
      </c>
      <c r="H2" s="118" t="s">
        <v>375</v>
      </c>
      <c r="I2" s="100"/>
      <c r="J2" s="100"/>
      <c r="K2" s="100"/>
      <c r="L2" s="100"/>
      <c r="M2" s="100"/>
      <c r="N2" s="100"/>
      <c r="O2" s="100"/>
      <c r="P2" s="100">
        <v>1427789.4000000001</v>
      </c>
      <c r="Q2" s="100"/>
      <c r="R2" s="100">
        <f>164.28*2</f>
        <v>328.56</v>
      </c>
      <c r="S2" s="100"/>
      <c r="T2" s="100"/>
      <c r="U2" s="100"/>
      <c r="V2" s="100"/>
      <c r="W2" s="100"/>
      <c r="X2" s="100"/>
      <c r="Y2" s="100"/>
    </row>
    <row r="3" spans="1:25">
      <c r="A3" s="107" t="s">
        <v>381</v>
      </c>
      <c r="B3" s="104" t="s">
        <v>360</v>
      </c>
      <c r="C3" s="105">
        <v>1</v>
      </c>
      <c r="D3" s="341">
        <f>+K106</f>
        <v>897</v>
      </c>
      <c r="E3" s="347">
        <f>L106</f>
        <v>0</v>
      </c>
      <c r="F3" s="109"/>
      <c r="G3" s="108"/>
      <c r="H3" s="123"/>
      <c r="I3" s="100"/>
      <c r="J3" s="100">
        <v>31.71</v>
      </c>
      <c r="K3" s="100" t="s">
        <v>433</v>
      </c>
      <c r="L3" s="100"/>
      <c r="M3" s="100">
        <f>J3/J7</f>
        <v>2.970041080416836E-2</v>
      </c>
      <c r="N3" s="100">
        <f>P3*M3</f>
        <v>42405.931721837063</v>
      </c>
      <c r="O3" s="278">
        <f>Q3*M3</f>
        <v>26730.369723751523</v>
      </c>
      <c r="P3" s="100">
        <v>1427789.4000000001</v>
      </c>
      <c r="Q3" s="100">
        <v>900000</v>
      </c>
      <c r="R3" s="100">
        <f>61.06*2</f>
        <v>122.12</v>
      </c>
      <c r="S3" s="100"/>
      <c r="T3" s="100"/>
      <c r="U3" s="100"/>
      <c r="V3" s="100"/>
      <c r="W3" s="100"/>
      <c r="X3" s="100"/>
      <c r="Y3" s="100"/>
    </row>
    <row r="4" spans="1:25">
      <c r="A4" s="107" t="s">
        <v>382</v>
      </c>
      <c r="B4" s="104" t="s">
        <v>360</v>
      </c>
      <c r="C4" s="105">
        <v>1</v>
      </c>
      <c r="D4" s="342"/>
      <c r="E4" s="348"/>
      <c r="F4" s="109"/>
      <c r="G4" s="108"/>
      <c r="H4" s="123"/>
      <c r="I4" s="100"/>
      <c r="J4" s="100">
        <f>D11+E9+G11</f>
        <v>897</v>
      </c>
      <c r="K4" s="100" t="s">
        <v>434</v>
      </c>
      <c r="L4" s="100"/>
      <c r="M4" s="100">
        <f>J4/J7</f>
        <v>0.84015353173569907</v>
      </c>
      <c r="N4" s="100">
        <f t="shared" ref="N4:N6" si="0">P4*M4</f>
        <v>1199562.3069847948</v>
      </c>
      <c r="O4" s="278">
        <f>Q4*M4</f>
        <v>756138.17856212915</v>
      </c>
      <c r="P4" s="100">
        <v>1427789.4000000001</v>
      </c>
      <c r="Q4" s="100">
        <v>900000</v>
      </c>
      <c r="R4" s="100">
        <f>70*2</f>
        <v>140</v>
      </c>
      <c r="S4" s="100"/>
      <c r="T4" s="100"/>
      <c r="U4" s="100"/>
      <c r="V4" s="100"/>
      <c r="W4" s="100"/>
      <c r="X4" s="100"/>
      <c r="Y4" s="100"/>
    </row>
    <row r="5" spans="1:25">
      <c r="A5" s="107" t="s">
        <v>383</v>
      </c>
      <c r="B5" s="104" t="s">
        <v>360</v>
      </c>
      <c r="C5" s="105">
        <v>1</v>
      </c>
      <c r="D5" s="342"/>
      <c r="E5" s="348"/>
      <c r="F5" s="109"/>
      <c r="G5" s="108"/>
      <c r="H5" s="123"/>
      <c r="I5" s="100"/>
      <c r="J5" s="100">
        <f>126.32*1.1</f>
        <v>138.952</v>
      </c>
      <c r="K5" s="100" t="s">
        <v>435</v>
      </c>
      <c r="L5" s="100"/>
      <c r="M5" s="100">
        <f>J5/J7</f>
        <v>0.1301460574601325</v>
      </c>
      <c r="N5" s="100">
        <f t="shared" si="0"/>
        <v>185821.16129336812</v>
      </c>
      <c r="O5" s="278">
        <f t="shared" ref="O5:O6" si="1">Q5*M5</f>
        <v>117131.45171411925</v>
      </c>
      <c r="P5" s="100">
        <v>1427789.4000000001</v>
      </c>
      <c r="Q5" s="100">
        <v>900000</v>
      </c>
      <c r="R5" s="100">
        <f>SUM(R2:R4)</f>
        <v>590.68000000000006</v>
      </c>
      <c r="S5" s="100">
        <f>R5*2</f>
        <v>1181.3600000000001</v>
      </c>
      <c r="T5" s="100"/>
      <c r="U5" s="100"/>
      <c r="V5" s="100"/>
      <c r="W5" s="100"/>
      <c r="X5" s="100"/>
      <c r="Y5" s="100"/>
    </row>
    <row r="6" spans="1:25">
      <c r="A6" s="107" t="s">
        <v>384</v>
      </c>
      <c r="B6" s="104" t="s">
        <v>360</v>
      </c>
      <c r="C6" s="105">
        <v>1</v>
      </c>
      <c r="D6" s="342"/>
      <c r="E6" s="348"/>
      <c r="F6" s="109"/>
      <c r="G6" s="108"/>
      <c r="H6" s="123"/>
      <c r="J6" s="101">
        <f>F13</f>
        <v>0</v>
      </c>
      <c r="K6" s="101" t="s">
        <v>436</v>
      </c>
      <c r="L6" s="101" t="s">
        <v>437</v>
      </c>
      <c r="M6" s="101">
        <f>J6/J7</f>
        <v>0</v>
      </c>
      <c r="N6" s="100">
        <f t="shared" si="0"/>
        <v>0</v>
      </c>
      <c r="O6" s="278">
        <f t="shared" si="1"/>
        <v>0</v>
      </c>
      <c r="P6" s="100">
        <v>1427789.4000000001</v>
      </c>
      <c r="Q6" s="100">
        <v>900000</v>
      </c>
    </row>
    <row r="7" spans="1:25">
      <c r="A7" s="107" t="s">
        <v>385</v>
      </c>
      <c r="B7" s="104" t="s">
        <v>360</v>
      </c>
      <c r="C7" s="105">
        <v>1</v>
      </c>
      <c r="D7" s="342"/>
      <c r="E7" s="348"/>
      <c r="F7" s="109"/>
      <c r="G7" s="108"/>
      <c r="H7" s="123"/>
      <c r="I7" s="100"/>
      <c r="J7" s="100">
        <f>J3+J4+J5+J6</f>
        <v>1067.662</v>
      </c>
      <c r="K7" s="100"/>
      <c r="L7" s="100"/>
      <c r="M7" s="100"/>
      <c r="N7" s="100"/>
      <c r="O7" s="100"/>
      <c r="P7" s="100"/>
      <c r="Q7" s="100"/>
      <c r="R7" s="100">
        <f>R5/C43</f>
        <v>193.03267973856211</v>
      </c>
      <c r="S7" s="100">
        <f>S5/C43</f>
        <v>386.06535947712422</v>
      </c>
      <c r="T7" s="100"/>
      <c r="U7" s="100"/>
      <c r="V7" s="100"/>
      <c r="W7" s="100"/>
      <c r="X7" s="100"/>
      <c r="Y7" s="100"/>
    </row>
    <row r="8" spans="1:25" ht="30">
      <c r="A8" s="114" t="s">
        <v>388</v>
      </c>
      <c r="B8" s="104" t="s">
        <v>360</v>
      </c>
      <c r="C8" s="105">
        <v>1</v>
      </c>
      <c r="D8" s="342"/>
      <c r="E8" s="348"/>
      <c r="F8" s="109"/>
      <c r="G8" s="108"/>
      <c r="H8" s="123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</row>
    <row r="9" spans="1:25">
      <c r="A9" s="107" t="s">
        <v>309</v>
      </c>
      <c r="B9" s="104" t="s">
        <v>360</v>
      </c>
      <c r="C9" s="105">
        <v>1</v>
      </c>
      <c r="D9" s="342"/>
      <c r="E9" s="348"/>
      <c r="F9" s="109"/>
      <c r="G9" s="108"/>
      <c r="H9" s="123"/>
      <c r="I9" s="100"/>
      <c r="J9" s="100"/>
      <c r="K9" s="100">
        <v>1515.7</v>
      </c>
      <c r="L9" s="100">
        <f>S7*K9</f>
        <v>585159.26535947714</v>
      </c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5">
      <c r="A10" s="107" t="s">
        <v>386</v>
      </c>
      <c r="B10" s="104" t="s">
        <v>360</v>
      </c>
      <c r="C10" s="105">
        <v>1</v>
      </c>
      <c r="D10" s="343"/>
      <c r="E10" s="349"/>
      <c r="F10" s="109"/>
      <c r="G10" s="108"/>
      <c r="H10" s="123"/>
      <c r="I10" s="100"/>
      <c r="J10" s="100"/>
      <c r="K10" s="100"/>
      <c r="L10" s="100">
        <f>1.1*L9</f>
        <v>643675.19189542485</v>
      </c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5" ht="15.75">
      <c r="A11" s="115" t="s">
        <v>389</v>
      </c>
      <c r="B11" s="116" t="s">
        <v>360</v>
      </c>
      <c r="C11" s="117"/>
      <c r="D11" s="115">
        <f>SUM(D3:D10)</f>
        <v>897</v>
      </c>
      <c r="E11" s="115">
        <f>SUM(E3:E10)</f>
        <v>0</v>
      </c>
      <c r="F11" s="115">
        <f>SUM(F3:F10)</f>
        <v>0</v>
      </c>
      <c r="G11" s="115">
        <f>SUM(G3:G10)</f>
        <v>0</v>
      </c>
      <c r="H11" s="115">
        <f>SUM(H3:H10)</f>
        <v>0</v>
      </c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</row>
    <row r="12" spans="1:25" ht="15.75">
      <c r="A12" s="99" t="s">
        <v>390</v>
      </c>
      <c r="B12" s="106" t="s">
        <v>360</v>
      </c>
      <c r="C12" s="98"/>
      <c r="D12" s="99">
        <f>D11*0.1+D11</f>
        <v>986.7</v>
      </c>
      <c r="E12" s="99">
        <f>E11*0.1+E11</f>
        <v>0</v>
      </c>
      <c r="F12" s="99">
        <f>F11*0.1+F11</f>
        <v>0</v>
      </c>
      <c r="G12" s="99">
        <f>G11*0.1+G11</f>
        <v>0</v>
      </c>
      <c r="H12" s="99">
        <f>H11*0.1+H11</f>
        <v>0</v>
      </c>
      <c r="I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5" ht="15.75">
      <c r="A13" s="100" t="s">
        <v>392</v>
      </c>
      <c r="B13" s="100"/>
      <c r="C13" s="100"/>
      <c r="D13" s="118">
        <v>990</v>
      </c>
      <c r="E13" s="118">
        <v>0</v>
      </c>
      <c r="F13" s="118"/>
      <c r="G13" s="118"/>
      <c r="H13" s="100"/>
      <c r="I13" s="100"/>
      <c r="J13" s="100"/>
      <c r="K13" s="100"/>
      <c r="L13" s="100"/>
      <c r="M13" s="100"/>
      <c r="N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</row>
    <row r="14" spans="1:25">
      <c r="A14" s="100"/>
      <c r="B14" s="100"/>
      <c r="C14" s="100"/>
      <c r="D14" s="100"/>
      <c r="E14" s="100"/>
      <c r="F14" s="100"/>
      <c r="G14" s="100"/>
      <c r="H14" s="100" t="s">
        <v>470</v>
      </c>
      <c r="I14" s="100" t="s">
        <v>378</v>
      </c>
      <c r="J14" s="100"/>
      <c r="K14" s="100"/>
      <c r="L14" s="100"/>
      <c r="M14" s="100"/>
      <c r="N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1:25">
      <c r="A15" s="100"/>
      <c r="B15" s="100"/>
      <c r="C15" s="100"/>
      <c r="D15" s="113"/>
      <c r="E15" s="100"/>
      <c r="F15" s="100"/>
      <c r="G15" s="100"/>
      <c r="H15" s="100">
        <v>120</v>
      </c>
      <c r="I15" s="100"/>
      <c r="J15" s="100"/>
      <c r="K15" s="100"/>
      <c r="L15" s="100"/>
      <c r="M15" s="100"/>
      <c r="N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</row>
    <row r="16" spans="1:25" ht="15.75">
      <c r="A16" s="104" t="s">
        <v>391</v>
      </c>
      <c r="B16" s="99">
        <f>D12+E12+F12+G12</f>
        <v>986.7</v>
      </c>
      <c r="C16" s="100"/>
      <c r="D16" s="100"/>
      <c r="E16" s="100"/>
      <c r="F16" s="100"/>
      <c r="G16" s="100"/>
      <c r="H16" s="100">
        <v>70</v>
      </c>
      <c r="I16" s="100"/>
      <c r="J16" s="100"/>
      <c r="K16" s="100"/>
      <c r="L16" s="100"/>
      <c r="M16" s="100"/>
      <c r="N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>
      <c r="A17" s="100"/>
      <c r="B17" s="100"/>
      <c r="C17" s="100"/>
      <c r="D17" s="100"/>
      <c r="E17" s="100"/>
      <c r="F17" s="100"/>
      <c r="G17" s="100"/>
      <c r="H17" s="100">
        <v>60</v>
      </c>
      <c r="I17" s="100"/>
      <c r="J17" s="100"/>
      <c r="K17" s="100"/>
      <c r="L17" s="100"/>
      <c r="M17" s="100">
        <v>2247</v>
      </c>
      <c r="N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  <row r="18" spans="1:25">
      <c r="A18" s="100"/>
      <c r="B18" s="100"/>
      <c r="C18" s="100"/>
      <c r="D18" s="100"/>
      <c r="F18" s="100"/>
      <c r="G18" s="100"/>
      <c r="H18" s="100">
        <v>65</v>
      </c>
      <c r="I18" s="100"/>
      <c r="J18" s="100"/>
      <c r="K18" s="100"/>
      <c r="L18" s="100"/>
      <c r="M18" s="100"/>
      <c r="N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</row>
    <row r="19" spans="1:25" hidden="1">
      <c r="A19" s="269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 s="270"/>
      <c r="M19" s="271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</row>
    <row r="20" spans="1:25" ht="15.75" hidden="1" thickBot="1">
      <c r="A20" s="344" t="s">
        <v>438</v>
      </c>
      <c r="B20" s="345"/>
      <c r="C20" s="346"/>
      <c r="D20" s="267" t="s">
        <v>444</v>
      </c>
      <c r="E20" s="268">
        <f>11*20</f>
        <v>220</v>
      </c>
      <c r="F20" s="100"/>
      <c r="G20" s="100"/>
      <c r="H20" s="100"/>
      <c r="I20" s="100"/>
      <c r="J20" s="100"/>
      <c r="K20" s="100"/>
      <c r="L20" s="100"/>
      <c r="M20" s="272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</row>
    <row r="21" spans="1:25" hidden="1">
      <c r="A21" s="273" t="s">
        <v>439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272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</row>
    <row r="22" spans="1:25" hidden="1">
      <c r="A22" s="273" t="s">
        <v>440</v>
      </c>
      <c r="B22" s="100">
        <v>7</v>
      </c>
      <c r="C22" s="100">
        <v>11</v>
      </c>
      <c r="D22" s="100">
        <f>C22*B22</f>
        <v>77</v>
      </c>
      <c r="E22" s="100">
        <v>1700</v>
      </c>
      <c r="F22" s="100">
        <f>E22*D22</f>
        <v>130900</v>
      </c>
      <c r="G22" s="100"/>
      <c r="H22" s="100"/>
      <c r="I22" s="100"/>
      <c r="J22" s="100"/>
      <c r="K22" s="100"/>
      <c r="L22" s="100"/>
      <c r="M22" s="272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</row>
    <row r="23" spans="1:25" hidden="1">
      <c r="A23" s="273" t="s">
        <v>441</v>
      </c>
      <c r="B23" s="100">
        <v>12</v>
      </c>
      <c r="C23" s="100">
        <v>11</v>
      </c>
      <c r="D23" s="100">
        <f>C23*B23</f>
        <v>132</v>
      </c>
      <c r="E23" s="100">
        <v>380</v>
      </c>
      <c r="F23" s="100">
        <f>E23*D23</f>
        <v>50160</v>
      </c>
      <c r="G23" s="100"/>
      <c r="H23" s="100"/>
      <c r="I23" s="100"/>
      <c r="J23" s="100"/>
      <c r="K23" s="100"/>
      <c r="L23" s="100"/>
      <c r="M23" s="272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</row>
    <row r="24" spans="1:25" hidden="1">
      <c r="A24" s="273" t="s">
        <v>442</v>
      </c>
      <c r="B24" s="100">
        <v>7</v>
      </c>
      <c r="C24" s="100">
        <v>11</v>
      </c>
      <c r="D24" s="100">
        <f>C24*B24</f>
        <v>77</v>
      </c>
      <c r="E24" s="100">
        <v>40</v>
      </c>
      <c r="F24" s="100">
        <f>E24*D24</f>
        <v>3080</v>
      </c>
      <c r="G24" s="100"/>
      <c r="H24" s="100"/>
      <c r="I24" s="100"/>
      <c r="J24" s="100"/>
      <c r="K24" s="100"/>
      <c r="L24" s="100"/>
      <c r="M24" s="272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</row>
    <row r="25" spans="1:25" hidden="1">
      <c r="A25" s="273" t="s">
        <v>443</v>
      </c>
      <c r="B25" s="100">
        <v>6</v>
      </c>
      <c r="C25" s="100">
        <v>11</v>
      </c>
      <c r="D25" s="100">
        <f>B25*C25</f>
        <v>66</v>
      </c>
      <c r="E25" s="100">
        <v>350</v>
      </c>
      <c r="F25" s="100">
        <f>E25*D25</f>
        <v>23100</v>
      </c>
      <c r="G25" s="100"/>
      <c r="H25" s="100"/>
      <c r="I25" s="100"/>
      <c r="J25" s="100"/>
      <c r="K25" s="100"/>
      <c r="L25" s="100"/>
      <c r="M25" s="272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</row>
    <row r="26" spans="1:25" hidden="1">
      <c r="A26" s="273"/>
      <c r="B26" s="100"/>
      <c r="C26" s="100"/>
      <c r="D26" s="100"/>
      <c r="E26" s="100"/>
      <c r="F26" s="100">
        <f>SUM(F22:F25)</f>
        <v>207240</v>
      </c>
      <c r="G26" s="100"/>
      <c r="H26" s="100"/>
      <c r="I26" s="100"/>
      <c r="J26" s="100"/>
      <c r="K26" s="100"/>
      <c r="L26" s="100"/>
      <c r="M26" s="272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</row>
    <row r="27" spans="1:25" hidden="1">
      <c r="A27" s="273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272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5" hidden="1">
      <c r="A28" s="273" t="s">
        <v>445</v>
      </c>
      <c r="B28" s="100" t="s">
        <v>444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272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</row>
    <row r="29" spans="1:25" hidden="1">
      <c r="A29" s="273"/>
      <c r="B29" s="100">
        <f>21*20</f>
        <v>420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272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1:25" hidden="1">
      <c r="A30" s="273" t="s">
        <v>446</v>
      </c>
      <c r="B30" s="100">
        <f>10.7*20</f>
        <v>214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272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</row>
    <row r="31" spans="1:25" hidden="1">
      <c r="A31" s="273"/>
      <c r="B31" s="100">
        <f>3*20</f>
        <v>60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27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1:25" hidden="1">
      <c r="A32" s="273"/>
      <c r="B32" s="100">
        <f>5.4*15</f>
        <v>81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272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</row>
    <row r="33" spans="1:25" hidden="1">
      <c r="A33" s="273"/>
      <c r="B33" s="100">
        <f>12*4</f>
        <v>48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272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</row>
    <row r="34" spans="1:25" hidden="1">
      <c r="A34" s="273"/>
      <c r="B34" s="100">
        <f>8*15</f>
        <v>120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272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</row>
    <row r="35" spans="1:25" hidden="1">
      <c r="A35" s="273"/>
      <c r="B35" s="100">
        <f>8.2*15</f>
        <v>122.99999999999999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272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hidden="1">
      <c r="A36" s="273"/>
      <c r="B36" s="100">
        <f>19*7.25</f>
        <v>137.75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272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</row>
    <row r="37" spans="1:25" hidden="1">
      <c r="A37" s="273"/>
      <c r="B37" s="100">
        <f>5.4*5</f>
        <v>27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272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</row>
    <row r="38" spans="1:25" hidden="1">
      <c r="A38" s="273"/>
      <c r="B38" s="100">
        <f>3*5.4</f>
        <v>16.200000000000003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272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</row>
    <row r="39" spans="1:25" hidden="1">
      <c r="A39" s="273"/>
      <c r="B39" s="100">
        <f>6.5*7.5</f>
        <v>48.75</v>
      </c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272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</row>
    <row r="40" spans="1:25" hidden="1">
      <c r="A40" s="273"/>
      <c r="B40" s="100">
        <v>220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272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</row>
    <row r="41" spans="1:25" ht="15.75" hidden="1" thickBot="1">
      <c r="A41" s="274"/>
      <c r="B41" s="275">
        <f>SUM(B29:B40)</f>
        <v>1515.7</v>
      </c>
      <c r="C41" s="275">
        <f>H26*B41</f>
        <v>0</v>
      </c>
      <c r="D41" s="275">
        <f>B41*I26</f>
        <v>0</v>
      </c>
      <c r="E41" s="275"/>
      <c r="F41" s="275"/>
      <c r="G41" s="275"/>
      <c r="H41" s="275"/>
      <c r="I41" s="275"/>
      <c r="J41" s="275"/>
      <c r="K41" s="275"/>
      <c r="L41" s="275"/>
      <c r="M41" s="276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</row>
    <row r="42" spans="1:25">
      <c r="A42" s="100"/>
      <c r="B42" s="100"/>
      <c r="C42" s="100"/>
      <c r="D42" s="100"/>
      <c r="E42" s="100"/>
      <c r="F42" s="100"/>
      <c r="G42" s="100"/>
      <c r="H42" s="100">
        <v>50</v>
      </c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</row>
    <row r="43" spans="1:25">
      <c r="A43" s="100">
        <v>1.7</v>
      </c>
      <c r="B43" s="100">
        <v>1.8</v>
      </c>
      <c r="C43" s="100">
        <f>A43*B43</f>
        <v>3.06</v>
      </c>
      <c r="D43" s="100"/>
      <c r="E43" s="100"/>
      <c r="F43" s="100"/>
      <c r="G43" s="100"/>
      <c r="H43" s="100">
        <v>15</v>
      </c>
      <c r="I43" s="100"/>
      <c r="J43" s="100"/>
      <c r="K43" s="100"/>
      <c r="L43" s="100"/>
      <c r="M43" s="100" t="s">
        <v>427</v>
      </c>
      <c r="N43" s="100"/>
      <c r="O43" s="100" t="s">
        <v>464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</row>
    <row r="44" spans="1:25">
      <c r="A44" s="100"/>
      <c r="B44" s="100"/>
      <c r="C44" s="100"/>
      <c r="D44" s="100"/>
      <c r="E44" s="100"/>
      <c r="F44" s="100"/>
      <c r="G44" s="100"/>
      <c r="H44" s="100">
        <v>20</v>
      </c>
      <c r="I44" s="100"/>
      <c r="J44" s="100"/>
      <c r="K44" s="100"/>
      <c r="L44" s="100"/>
      <c r="M44" s="101" t="s">
        <v>428</v>
      </c>
      <c r="N44" s="100"/>
      <c r="O44" s="100" t="s">
        <v>465</v>
      </c>
      <c r="P44" s="100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1:25">
      <c r="A45" s="100"/>
      <c r="B45" s="100"/>
      <c r="C45" s="100"/>
      <c r="D45" s="100"/>
      <c r="E45" s="100"/>
      <c r="F45" s="100"/>
      <c r="G45" s="100"/>
      <c r="H45" s="100">
        <v>20</v>
      </c>
      <c r="I45" s="100"/>
      <c r="J45" s="100"/>
      <c r="K45" s="100"/>
      <c r="L45" s="100"/>
      <c r="M45" s="100" t="s">
        <v>430</v>
      </c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</row>
    <row r="46" spans="1:25">
      <c r="A46" s="100"/>
      <c r="B46" s="100"/>
      <c r="C46" s="100"/>
      <c r="D46" s="100"/>
      <c r="E46" s="100"/>
      <c r="F46" s="100"/>
      <c r="G46" s="100"/>
      <c r="H46" s="100">
        <v>20</v>
      </c>
      <c r="I46" s="100"/>
      <c r="J46" s="100"/>
      <c r="K46" s="100"/>
      <c r="L46" s="100"/>
      <c r="M46" s="100" t="s">
        <v>431</v>
      </c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</row>
    <row r="47" spans="1:25">
      <c r="A47" s="100"/>
      <c r="B47" s="100"/>
      <c r="C47" s="100"/>
      <c r="D47" s="100"/>
      <c r="E47" s="100"/>
      <c r="F47" s="100"/>
      <c r="G47" s="100"/>
      <c r="H47" s="100">
        <v>20</v>
      </c>
      <c r="I47" s="100"/>
      <c r="J47" s="100"/>
      <c r="K47" s="100"/>
      <c r="L47" s="100"/>
      <c r="M47" s="100" t="s">
        <v>459</v>
      </c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</row>
    <row r="48" spans="1:25">
      <c r="A48" s="100" t="s">
        <v>447</v>
      </c>
      <c r="B48" s="100"/>
      <c r="C48" s="100"/>
      <c r="D48" s="100"/>
      <c r="E48" s="100"/>
      <c r="F48" s="100"/>
      <c r="G48" s="100"/>
      <c r="H48" s="100">
        <v>5</v>
      </c>
      <c r="I48" s="100"/>
      <c r="K48" s="100"/>
      <c r="L48" s="100"/>
      <c r="M48" s="100" t="s">
        <v>432</v>
      </c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</row>
    <row r="49" spans="1:25">
      <c r="A49" s="100"/>
      <c r="B49" s="100" t="s">
        <v>98</v>
      </c>
      <c r="C49" s="100" t="s">
        <v>451</v>
      </c>
      <c r="D49" s="100" t="s">
        <v>454</v>
      </c>
      <c r="E49" s="100"/>
      <c r="F49" s="100"/>
      <c r="G49" s="100"/>
      <c r="H49" s="100">
        <v>10</v>
      </c>
      <c r="I49" s="100"/>
      <c r="J49" s="100"/>
      <c r="K49" s="100"/>
      <c r="L49" s="100"/>
      <c r="M49" s="100" t="s">
        <v>429</v>
      </c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</row>
    <row r="50" spans="1:25">
      <c r="A50" s="100" t="s">
        <v>448</v>
      </c>
      <c r="B50" s="100">
        <f>13*20*2</f>
        <v>520</v>
      </c>
      <c r="C50" s="277">
        <f>B50/6</f>
        <v>86.666666666666671</v>
      </c>
      <c r="D50" s="100">
        <v>900</v>
      </c>
      <c r="E50" s="100">
        <f>D50*C50</f>
        <v>78000</v>
      </c>
      <c r="F50" s="100"/>
      <c r="G50" s="100"/>
      <c r="H50" s="100">
        <v>15</v>
      </c>
      <c r="I50" s="100"/>
      <c r="J50" s="100"/>
      <c r="K50" s="100"/>
      <c r="L50" s="100"/>
      <c r="M50" s="100" t="s">
        <v>460</v>
      </c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</row>
    <row r="51" spans="1:25">
      <c r="A51" s="100" t="s">
        <v>449</v>
      </c>
      <c r="B51" s="100">
        <f>2*11*20</f>
        <v>440</v>
      </c>
      <c r="C51" s="277">
        <f t="shared" ref="C51:C52" si="2">B51/6</f>
        <v>73.333333333333329</v>
      </c>
      <c r="D51" s="100">
        <v>900</v>
      </c>
      <c r="E51" s="100">
        <f t="shared" ref="E51:E52" si="3">D51*C51</f>
        <v>66000</v>
      </c>
      <c r="F51" s="100"/>
      <c r="G51" s="100"/>
      <c r="H51" s="100">
        <v>35</v>
      </c>
      <c r="I51" s="100"/>
      <c r="J51" s="100"/>
      <c r="K51" s="100"/>
      <c r="L51" s="100"/>
      <c r="M51" s="100" t="s">
        <v>461</v>
      </c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</row>
    <row r="52" spans="1:25">
      <c r="A52" s="100" t="s">
        <v>450</v>
      </c>
      <c r="B52" s="100">
        <f>143*1.5*2</f>
        <v>429</v>
      </c>
      <c r="C52" s="277">
        <f t="shared" si="2"/>
        <v>71.5</v>
      </c>
      <c r="D52" s="100">
        <v>900</v>
      </c>
      <c r="E52" s="100">
        <f t="shared" si="3"/>
        <v>64350</v>
      </c>
      <c r="F52" s="100"/>
      <c r="G52" s="100"/>
      <c r="H52" s="100">
        <v>65</v>
      </c>
      <c r="I52" s="100"/>
      <c r="J52" s="100"/>
      <c r="K52" s="100"/>
      <c r="L52" s="100"/>
      <c r="M52" s="100" t="s">
        <v>462</v>
      </c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</row>
    <row r="53" spans="1:25">
      <c r="A53" s="100"/>
      <c r="B53" s="100"/>
      <c r="C53" s="277">
        <f>SUM(C50:C52)</f>
        <v>231.5</v>
      </c>
      <c r="D53" s="100"/>
      <c r="E53" s="100">
        <f>SUM(E50:E52)</f>
        <v>208350</v>
      </c>
      <c r="F53" s="100"/>
      <c r="G53" s="100"/>
      <c r="H53" s="100">
        <v>65</v>
      </c>
      <c r="I53" s="100"/>
      <c r="J53" s="100"/>
      <c r="K53" s="100"/>
      <c r="L53" s="100"/>
      <c r="M53" s="100" t="s">
        <v>463</v>
      </c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</row>
    <row r="54" spans="1:25">
      <c r="A54" s="100" t="s">
        <v>452</v>
      </c>
      <c r="B54" s="100" t="s">
        <v>453</v>
      </c>
      <c r="C54" s="100" t="s">
        <v>454</v>
      </c>
      <c r="D54" s="100"/>
      <c r="E54" s="100"/>
      <c r="F54" s="100"/>
      <c r="G54" s="100"/>
      <c r="H54" s="100">
        <v>65</v>
      </c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</row>
    <row r="55" spans="1:25">
      <c r="A55" s="100"/>
      <c r="B55" s="100">
        <v>256</v>
      </c>
      <c r="C55" s="100">
        <v>75</v>
      </c>
      <c r="D55" s="100">
        <f>C55*B55</f>
        <v>19200</v>
      </c>
      <c r="E55" s="100"/>
      <c r="F55" s="100"/>
      <c r="G55" s="100"/>
      <c r="H55" s="100">
        <v>5</v>
      </c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</row>
    <row r="56" spans="1:25">
      <c r="A56" s="100"/>
      <c r="B56" s="100"/>
      <c r="C56" s="100"/>
      <c r="D56" s="100"/>
      <c r="E56" s="100"/>
      <c r="F56" s="100"/>
      <c r="G56" s="100"/>
      <c r="H56" s="100">
        <f>6*3</f>
        <v>18</v>
      </c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</row>
    <row r="57" spans="1:25">
      <c r="A57" s="100" t="s">
        <v>455</v>
      </c>
      <c r="B57" s="101" t="s">
        <v>98</v>
      </c>
      <c r="C57" s="100" t="s">
        <v>456</v>
      </c>
      <c r="D57" s="100"/>
      <c r="E57" s="100"/>
      <c r="F57" s="100"/>
      <c r="G57" s="100"/>
      <c r="H57" s="100">
        <f>6*3</f>
        <v>18</v>
      </c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</row>
    <row r="58" spans="1:25">
      <c r="A58" s="100"/>
      <c r="B58" s="101">
        <f>20*7</f>
        <v>140</v>
      </c>
      <c r="C58" s="100">
        <v>175</v>
      </c>
      <c r="D58" s="100">
        <f>C58*B58</f>
        <v>24500</v>
      </c>
      <c r="E58" s="100"/>
      <c r="F58" s="100"/>
      <c r="G58" s="100"/>
      <c r="H58" s="100">
        <f t="shared" ref="H58:H63" si="4">5*3</f>
        <v>15</v>
      </c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</row>
    <row r="59" spans="1:25">
      <c r="A59" s="100"/>
      <c r="B59" s="100"/>
      <c r="C59" s="100"/>
      <c r="D59" s="100"/>
      <c r="E59" s="100"/>
      <c r="F59" s="100"/>
      <c r="G59" s="100"/>
      <c r="H59" s="100">
        <f t="shared" si="4"/>
        <v>15</v>
      </c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</row>
    <row r="60" spans="1:25">
      <c r="A60" s="100"/>
      <c r="B60" s="100"/>
      <c r="C60" s="100"/>
      <c r="D60" s="279">
        <f>D58+D55+E53</f>
        <v>252050</v>
      </c>
      <c r="E60" s="100"/>
      <c r="F60" s="100">
        <f>20*20</f>
        <v>400</v>
      </c>
      <c r="G60" s="100"/>
      <c r="H60" s="100">
        <f t="shared" si="4"/>
        <v>15</v>
      </c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</row>
    <row r="61" spans="1:25">
      <c r="A61" s="100"/>
      <c r="B61" s="100"/>
      <c r="C61" s="100"/>
      <c r="D61" s="100"/>
      <c r="E61" s="100"/>
      <c r="F61" s="100">
        <f>D60/F60</f>
        <v>630.125</v>
      </c>
      <c r="G61" s="100"/>
      <c r="H61" s="100">
        <f t="shared" si="4"/>
        <v>15</v>
      </c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</row>
    <row r="62" spans="1:25">
      <c r="A62" s="100"/>
      <c r="B62" s="100"/>
      <c r="C62" s="100"/>
      <c r="D62" s="100"/>
      <c r="E62" s="100"/>
      <c r="F62" s="100"/>
      <c r="G62" s="100"/>
      <c r="H62" s="100">
        <f t="shared" si="4"/>
        <v>15</v>
      </c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</row>
    <row r="63" spans="1:25">
      <c r="A63" s="100"/>
      <c r="B63" s="100"/>
      <c r="C63" s="100"/>
      <c r="D63" s="100"/>
      <c r="E63" s="100"/>
      <c r="F63" s="100"/>
      <c r="G63" s="100"/>
      <c r="H63" s="100">
        <f t="shared" si="4"/>
        <v>15</v>
      </c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</row>
    <row r="64" spans="1:25">
      <c r="A64" s="100" t="s">
        <v>468</v>
      </c>
      <c r="B64" s="100"/>
      <c r="C64" s="100"/>
      <c r="D64" s="100"/>
      <c r="E64" s="100"/>
      <c r="F64" s="100"/>
      <c r="G64" s="100"/>
      <c r="H64" s="100">
        <f>10*3</f>
        <v>30</v>
      </c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</row>
    <row r="65" spans="1:25">
      <c r="A65" s="100" t="s">
        <v>467</v>
      </c>
      <c r="B65" s="100">
        <v>900</v>
      </c>
      <c r="C65" s="100"/>
      <c r="D65" s="100"/>
      <c r="E65" s="100"/>
      <c r="F65" s="100"/>
      <c r="G65" s="100"/>
      <c r="H65" s="100">
        <v>6</v>
      </c>
      <c r="I65" s="100"/>
      <c r="J65" s="100"/>
      <c r="K65" s="100">
        <f>H15</f>
        <v>120</v>
      </c>
      <c r="L65" s="100">
        <f>I15</f>
        <v>0</v>
      </c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</row>
    <row r="66" spans="1:25">
      <c r="A66" s="100" t="s">
        <v>452</v>
      </c>
      <c r="B66" s="100">
        <v>75</v>
      </c>
      <c r="C66" s="100"/>
      <c r="D66" s="100"/>
      <c r="E66" s="100"/>
      <c r="F66" s="100"/>
      <c r="G66" s="100"/>
      <c r="H66" s="100">
        <v>5</v>
      </c>
      <c r="I66" s="100"/>
      <c r="J66" s="100"/>
      <c r="K66" s="100">
        <f t="shared" ref="K66:L67" si="5">H16</f>
        <v>70</v>
      </c>
      <c r="L66" s="100">
        <f t="shared" si="5"/>
        <v>0</v>
      </c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</row>
    <row r="67" spans="1:25">
      <c r="A67" s="100" t="s">
        <v>455</v>
      </c>
      <c r="B67" s="100">
        <f>180*3</f>
        <v>540</v>
      </c>
      <c r="C67" s="100"/>
      <c r="D67" s="100"/>
      <c r="E67" s="100"/>
      <c r="F67" s="100"/>
      <c r="G67" s="100"/>
      <c r="H67" s="100">
        <v>5</v>
      </c>
      <c r="I67" s="100"/>
      <c r="J67" s="100"/>
      <c r="K67" s="100">
        <f t="shared" si="5"/>
        <v>60</v>
      </c>
      <c r="L67" s="100">
        <f t="shared" si="5"/>
        <v>0</v>
      </c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</row>
    <row r="68" spans="1:25">
      <c r="A68" s="100"/>
      <c r="B68" s="100"/>
      <c r="C68" s="100"/>
      <c r="D68" s="100"/>
      <c r="E68" s="100"/>
      <c r="F68" s="100"/>
      <c r="G68" s="100"/>
      <c r="H68" s="100">
        <v>5</v>
      </c>
      <c r="I68" s="100"/>
      <c r="J68" s="100"/>
      <c r="K68" s="100">
        <f>H18</f>
        <v>65</v>
      </c>
      <c r="L68" s="100">
        <f>I18</f>
        <v>0</v>
      </c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</row>
    <row r="69" spans="1:25">
      <c r="A69" s="100"/>
      <c r="B69" s="100"/>
      <c r="C69" s="100"/>
      <c r="D69" s="100"/>
      <c r="E69" s="100"/>
      <c r="F69" s="100"/>
      <c r="G69" s="100"/>
      <c r="H69" s="100">
        <v>12</v>
      </c>
      <c r="I69" s="100"/>
      <c r="J69" s="100"/>
      <c r="K69" s="100">
        <f>H42</f>
        <v>50</v>
      </c>
      <c r="L69" s="100">
        <f>I42</f>
        <v>0</v>
      </c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</row>
    <row r="70" spans="1:25">
      <c r="A70" s="100"/>
      <c r="B70" s="100"/>
      <c r="C70" s="100"/>
      <c r="D70" s="100"/>
      <c r="E70" s="100"/>
      <c r="F70" s="100"/>
      <c r="G70" s="100"/>
      <c r="H70" s="100">
        <v>5</v>
      </c>
      <c r="I70" s="100"/>
      <c r="J70" s="100"/>
      <c r="K70" s="100">
        <f t="shared" ref="K70:L94" si="6">H43</f>
        <v>15</v>
      </c>
      <c r="L70" s="100">
        <f t="shared" si="6"/>
        <v>0</v>
      </c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</row>
    <row r="71" spans="1:25">
      <c r="A71" s="100"/>
      <c r="B71" s="100"/>
      <c r="C71" s="100"/>
      <c r="D71" s="100"/>
      <c r="E71" s="100"/>
      <c r="F71" s="100"/>
      <c r="G71" s="100"/>
      <c r="H71" s="100">
        <f>3*12</f>
        <v>36</v>
      </c>
      <c r="I71" s="100"/>
      <c r="J71" s="100"/>
      <c r="K71" s="100">
        <f t="shared" si="6"/>
        <v>20</v>
      </c>
      <c r="L71" s="100">
        <f t="shared" si="6"/>
        <v>0</v>
      </c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</row>
    <row r="72" spans="1:25">
      <c r="A72" s="100"/>
      <c r="B72" s="100"/>
      <c r="C72" s="100"/>
      <c r="D72" s="100"/>
      <c r="E72" s="100"/>
      <c r="F72" s="100"/>
      <c r="G72" s="100"/>
      <c r="H72" s="100">
        <f>2*4</f>
        <v>8</v>
      </c>
      <c r="I72" s="100"/>
      <c r="J72" s="100"/>
      <c r="K72" s="100">
        <f t="shared" si="6"/>
        <v>20</v>
      </c>
      <c r="L72" s="100">
        <f t="shared" si="6"/>
        <v>0</v>
      </c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</row>
    <row r="73" spans="1: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>
        <f t="shared" si="6"/>
        <v>20</v>
      </c>
      <c r="L73" s="100">
        <f t="shared" si="6"/>
        <v>0</v>
      </c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</row>
    <row r="74" spans="1:25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>
        <f t="shared" si="6"/>
        <v>20</v>
      </c>
      <c r="L74" s="100">
        <f t="shared" si="6"/>
        <v>0</v>
      </c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</row>
    <row r="75" spans="1:25">
      <c r="A75" s="100"/>
      <c r="B75" s="100"/>
      <c r="C75" s="100"/>
      <c r="D75" s="100"/>
      <c r="E75" s="100"/>
      <c r="F75" s="100"/>
      <c r="G75" s="100"/>
      <c r="H75" s="100"/>
      <c r="I75" s="100"/>
      <c r="J75" s="100"/>
      <c r="K75" s="100">
        <f t="shared" si="6"/>
        <v>5</v>
      </c>
      <c r="L75" s="100">
        <f t="shared" si="6"/>
        <v>0</v>
      </c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</row>
    <row r="76" spans="1:25">
      <c r="A76" s="100"/>
      <c r="B76" s="100"/>
      <c r="C76" s="100"/>
      <c r="D76" s="100"/>
      <c r="E76" s="100"/>
      <c r="F76" s="100"/>
      <c r="G76" s="100"/>
      <c r="H76" s="100"/>
      <c r="I76" s="100"/>
      <c r="J76" s="100"/>
      <c r="K76" s="100">
        <f t="shared" si="6"/>
        <v>10</v>
      </c>
      <c r="L76" s="100">
        <f t="shared" si="6"/>
        <v>0</v>
      </c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</row>
    <row r="77" spans="1:25">
      <c r="A77" s="100"/>
      <c r="B77" s="100"/>
      <c r="C77" s="100"/>
      <c r="D77" s="100"/>
      <c r="E77" s="100"/>
      <c r="F77" s="100"/>
      <c r="G77" s="100"/>
      <c r="H77" s="100"/>
      <c r="I77" s="100"/>
      <c r="J77" s="100"/>
      <c r="K77" s="100">
        <f t="shared" si="6"/>
        <v>15</v>
      </c>
      <c r="L77" s="100">
        <f t="shared" si="6"/>
        <v>0</v>
      </c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</row>
    <row r="78" spans="1:25">
      <c r="A78" s="100"/>
      <c r="B78" s="100"/>
      <c r="C78" s="100"/>
      <c r="D78" s="100"/>
      <c r="E78" s="100"/>
      <c r="F78" s="100"/>
      <c r="G78" s="100"/>
      <c r="H78" s="100"/>
      <c r="I78" s="100"/>
      <c r="J78" s="100"/>
      <c r="K78" s="100">
        <f t="shared" si="6"/>
        <v>35</v>
      </c>
      <c r="L78" s="100">
        <f t="shared" si="6"/>
        <v>0</v>
      </c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</row>
    <row r="79" spans="1:25">
      <c r="K79" s="100">
        <f t="shared" si="6"/>
        <v>65</v>
      </c>
      <c r="L79" s="100">
        <f t="shared" si="6"/>
        <v>0</v>
      </c>
    </row>
    <row r="80" spans="1:25">
      <c r="K80" s="100">
        <f t="shared" si="6"/>
        <v>65</v>
      </c>
      <c r="L80" s="100">
        <f t="shared" si="6"/>
        <v>0</v>
      </c>
    </row>
    <row r="81" spans="11:12">
      <c r="K81" s="100">
        <f t="shared" si="6"/>
        <v>65</v>
      </c>
      <c r="L81" s="100">
        <f t="shared" si="6"/>
        <v>0</v>
      </c>
    </row>
    <row r="82" spans="11:12">
      <c r="K82" s="100">
        <f t="shared" si="6"/>
        <v>5</v>
      </c>
      <c r="L82" s="100">
        <f t="shared" si="6"/>
        <v>0</v>
      </c>
    </row>
    <row r="83" spans="11:12">
      <c r="K83" s="100">
        <f t="shared" si="6"/>
        <v>18</v>
      </c>
      <c r="L83" s="100">
        <f t="shared" si="6"/>
        <v>0</v>
      </c>
    </row>
    <row r="84" spans="11:12">
      <c r="K84" s="100">
        <f t="shared" si="6"/>
        <v>18</v>
      </c>
      <c r="L84" s="100">
        <f t="shared" si="6"/>
        <v>0</v>
      </c>
    </row>
    <row r="85" spans="11:12">
      <c r="K85" s="100">
        <f t="shared" si="6"/>
        <v>15</v>
      </c>
      <c r="L85" s="100">
        <f t="shared" si="6"/>
        <v>0</v>
      </c>
    </row>
    <row r="86" spans="11:12">
      <c r="K86" s="100">
        <f t="shared" si="6"/>
        <v>15</v>
      </c>
      <c r="L86" s="100">
        <f t="shared" si="6"/>
        <v>0</v>
      </c>
    </row>
    <row r="87" spans="11:12">
      <c r="K87" s="100">
        <f t="shared" si="6"/>
        <v>15</v>
      </c>
      <c r="L87" s="100">
        <f t="shared" si="6"/>
        <v>0</v>
      </c>
    </row>
    <row r="88" spans="11:12">
      <c r="K88" s="100">
        <f t="shared" si="6"/>
        <v>15</v>
      </c>
      <c r="L88" s="100">
        <f t="shared" si="6"/>
        <v>0</v>
      </c>
    </row>
    <row r="89" spans="11:12">
      <c r="K89" s="100">
        <f t="shared" si="6"/>
        <v>15</v>
      </c>
      <c r="L89" s="100">
        <f t="shared" si="6"/>
        <v>0</v>
      </c>
    </row>
    <row r="90" spans="11:12">
      <c r="K90" s="100">
        <f t="shared" si="6"/>
        <v>15</v>
      </c>
      <c r="L90" s="100">
        <f t="shared" si="6"/>
        <v>0</v>
      </c>
    </row>
    <row r="91" spans="11:12">
      <c r="K91" s="100">
        <f t="shared" si="6"/>
        <v>30</v>
      </c>
      <c r="L91" s="100">
        <f t="shared" si="6"/>
        <v>0</v>
      </c>
    </row>
    <row r="92" spans="11:12">
      <c r="K92" s="100">
        <f t="shared" si="6"/>
        <v>6</v>
      </c>
      <c r="L92" s="100">
        <f t="shared" si="6"/>
        <v>0</v>
      </c>
    </row>
    <row r="93" spans="11:12">
      <c r="K93" s="100">
        <f t="shared" si="6"/>
        <v>5</v>
      </c>
      <c r="L93" s="100">
        <f t="shared" si="6"/>
        <v>0</v>
      </c>
    </row>
    <row r="94" spans="11:12">
      <c r="K94" s="100">
        <f t="shared" si="6"/>
        <v>5</v>
      </c>
      <c r="L94" s="100">
        <f t="shared" si="6"/>
        <v>0</v>
      </c>
    </row>
    <row r="95" spans="11:12">
      <c r="K95" s="100"/>
      <c r="L95" s="100">
        <f t="shared" ref="L95:L103" si="7">I68</f>
        <v>0</v>
      </c>
    </row>
    <row r="96" spans="11:12">
      <c r="K96" s="100"/>
      <c r="L96" s="100">
        <f t="shared" si="7"/>
        <v>0</v>
      </c>
    </row>
    <row r="97" spans="11:12">
      <c r="K97" s="100"/>
      <c r="L97" s="100">
        <f t="shared" si="7"/>
        <v>0</v>
      </c>
    </row>
    <row r="98" spans="11:12">
      <c r="K98" s="100"/>
      <c r="L98" s="100">
        <f t="shared" si="7"/>
        <v>0</v>
      </c>
    </row>
    <row r="99" spans="11:12">
      <c r="K99" s="100"/>
      <c r="L99" s="100">
        <f t="shared" si="7"/>
        <v>0</v>
      </c>
    </row>
    <row r="100" spans="11:12">
      <c r="K100" s="100"/>
      <c r="L100" s="100">
        <f t="shared" si="7"/>
        <v>0</v>
      </c>
    </row>
    <row r="101" spans="11:12">
      <c r="K101" s="100"/>
      <c r="L101" s="100">
        <f t="shared" si="7"/>
        <v>0</v>
      </c>
    </row>
    <row r="102" spans="11:12">
      <c r="K102" s="100"/>
      <c r="L102" s="100">
        <f t="shared" si="7"/>
        <v>0</v>
      </c>
    </row>
    <row r="103" spans="11:12">
      <c r="K103" s="100"/>
      <c r="L103" s="100">
        <f t="shared" si="7"/>
        <v>0</v>
      </c>
    </row>
    <row r="104" spans="11:12">
      <c r="K104" s="100"/>
      <c r="L104" s="100"/>
    </row>
    <row r="105" spans="11:12">
      <c r="K105" s="100"/>
    </row>
    <row r="106" spans="11:12">
      <c r="K106" s="100">
        <f>SUM(K65:K105)</f>
        <v>897</v>
      </c>
      <c r="L106" s="100">
        <f>SUM(L65:L105)</f>
        <v>0</v>
      </c>
    </row>
    <row r="107" spans="11:12">
      <c r="K107" s="100"/>
    </row>
    <row r="108" spans="11:12">
      <c r="K108" s="100"/>
    </row>
    <row r="109" spans="11:12">
      <c r="K109" s="100"/>
    </row>
    <row r="110" spans="11:12">
      <c r="K110" s="100"/>
    </row>
    <row r="111" spans="11:12">
      <c r="K111" s="100"/>
    </row>
    <row r="112" spans="11:12">
      <c r="K112" s="100"/>
    </row>
    <row r="113" spans="11:11">
      <c r="K113" s="100"/>
    </row>
    <row r="114" spans="11:11">
      <c r="K114" s="100"/>
    </row>
    <row r="115" spans="11:11">
      <c r="K115" s="100"/>
    </row>
    <row r="116" spans="11:11">
      <c r="K116" s="100"/>
    </row>
    <row r="117" spans="11:11">
      <c r="K117" s="100"/>
    </row>
    <row r="118" spans="11:11">
      <c r="K118" s="100"/>
    </row>
    <row r="119" spans="11:11">
      <c r="K119" s="100"/>
    </row>
    <row r="120" spans="11:11">
      <c r="K120" s="100"/>
    </row>
    <row r="121" spans="11:11">
      <c r="K121" s="100"/>
    </row>
    <row r="122" spans="11:11">
      <c r="K122" s="100"/>
    </row>
    <row r="123" spans="11:11">
      <c r="K123" s="100"/>
    </row>
    <row r="124" spans="11:11">
      <c r="K124" s="100"/>
    </row>
    <row r="125" spans="11:11">
      <c r="K125" s="100"/>
    </row>
    <row r="126" spans="11:11">
      <c r="K126" s="100"/>
    </row>
    <row r="127" spans="11:11">
      <c r="K127" s="100"/>
    </row>
    <row r="128" spans="11:11">
      <c r="K128" s="100"/>
    </row>
    <row r="129" spans="11:11">
      <c r="K129" s="100"/>
    </row>
    <row r="130" spans="11:11">
      <c r="K130" s="100"/>
    </row>
    <row r="131" spans="11:11">
      <c r="K131" s="100"/>
    </row>
    <row r="132" spans="11:11">
      <c r="K132" s="100"/>
    </row>
    <row r="133" spans="11:11">
      <c r="K133" s="100"/>
    </row>
    <row r="134" spans="11:11">
      <c r="K134" s="100"/>
    </row>
    <row r="135" spans="11:11">
      <c r="K135" s="100"/>
    </row>
    <row r="136" spans="11:11">
      <c r="K136" s="100"/>
    </row>
    <row r="137" spans="11:11">
      <c r="K137" s="100"/>
    </row>
    <row r="138" spans="11:11">
      <c r="K138" s="100"/>
    </row>
    <row r="139" spans="11:11">
      <c r="K139" s="100"/>
    </row>
    <row r="140" spans="11:11">
      <c r="K140" s="100"/>
    </row>
    <row r="141" spans="11:11">
      <c r="K141" s="100"/>
    </row>
    <row r="142" spans="11:11">
      <c r="K142" s="100"/>
    </row>
    <row r="143" spans="11:11">
      <c r="K143" s="100"/>
    </row>
    <row r="144" spans="11:11">
      <c r="K144" s="100"/>
    </row>
    <row r="145" spans="11:11">
      <c r="K145" s="100"/>
    </row>
    <row r="146" spans="11:11">
      <c r="K146" s="100"/>
    </row>
    <row r="147" spans="11:11">
      <c r="K147" s="100"/>
    </row>
    <row r="148" spans="11:11">
      <c r="K148" s="100"/>
    </row>
    <row r="149" spans="11:11">
      <c r="K149" s="100"/>
    </row>
    <row r="150" spans="11:11">
      <c r="K150" s="100"/>
    </row>
    <row r="151" spans="11:11">
      <c r="K151" s="100"/>
    </row>
    <row r="152" spans="11:11">
      <c r="K152" s="100"/>
    </row>
    <row r="153" spans="11:11">
      <c r="K153" s="100"/>
    </row>
    <row r="154" spans="11:11">
      <c r="K154" s="100"/>
    </row>
    <row r="155" spans="11:11">
      <c r="K155" s="100"/>
    </row>
    <row r="156" spans="11:11">
      <c r="K156" s="100"/>
    </row>
    <row r="157" spans="11:11">
      <c r="K157" s="100"/>
    </row>
    <row r="158" spans="11:11">
      <c r="K158" s="100"/>
    </row>
    <row r="159" spans="11:11">
      <c r="K159" s="100"/>
    </row>
    <row r="160" spans="11:11">
      <c r="K160" s="100"/>
    </row>
    <row r="161" spans="11:11">
      <c r="K161" s="100"/>
    </row>
    <row r="162" spans="11:11">
      <c r="K162" s="100"/>
    </row>
    <row r="163" spans="11:11">
      <c r="K163" s="100"/>
    </row>
    <row r="164" spans="11:11">
      <c r="K164" s="100"/>
    </row>
    <row r="165" spans="11:11">
      <c r="K165" s="100"/>
    </row>
    <row r="166" spans="11:11">
      <c r="K166" s="100"/>
    </row>
    <row r="167" spans="11:11">
      <c r="K167" s="100"/>
    </row>
    <row r="168" spans="11:11">
      <c r="K168" s="100"/>
    </row>
    <row r="169" spans="11:11">
      <c r="K169" s="100"/>
    </row>
    <row r="170" spans="11:11">
      <c r="K170" s="100"/>
    </row>
    <row r="171" spans="11:11">
      <c r="K171" s="100"/>
    </row>
    <row r="172" spans="11:11">
      <c r="K172" s="100"/>
    </row>
    <row r="173" spans="11:11">
      <c r="K173" s="100"/>
    </row>
    <row r="174" spans="11:11">
      <c r="K174" s="100"/>
    </row>
    <row r="175" spans="11:11">
      <c r="K175" s="100"/>
    </row>
    <row r="176" spans="11:11">
      <c r="K176" s="100"/>
    </row>
    <row r="177" spans="11:11">
      <c r="K177" s="100"/>
    </row>
    <row r="178" spans="11:11">
      <c r="K178" s="100"/>
    </row>
    <row r="179" spans="11:11">
      <c r="K179" s="100"/>
    </row>
    <row r="180" spans="11:11">
      <c r="K180" s="100"/>
    </row>
    <row r="181" spans="11:11">
      <c r="K181" s="100"/>
    </row>
    <row r="182" spans="11:11">
      <c r="K182" s="100"/>
    </row>
    <row r="183" spans="11:11">
      <c r="K183" s="100"/>
    </row>
    <row r="184" spans="11:11">
      <c r="K184" s="100"/>
    </row>
    <row r="185" spans="11:11">
      <c r="K185" s="100"/>
    </row>
    <row r="186" spans="11:11">
      <c r="K186" s="100"/>
    </row>
    <row r="187" spans="11:11">
      <c r="K187" s="100"/>
    </row>
    <row r="188" spans="11:11">
      <c r="K188" s="100"/>
    </row>
    <row r="189" spans="11:11">
      <c r="K189" s="100"/>
    </row>
    <row r="190" spans="11:11">
      <c r="K190" s="100"/>
    </row>
    <row r="191" spans="11:11">
      <c r="K191" s="100"/>
    </row>
  </sheetData>
  <mergeCells count="4">
    <mergeCell ref="A1:G1"/>
    <mergeCell ref="D3:D10"/>
    <mergeCell ref="E3:E10"/>
    <mergeCell ref="A20:C20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F576-FBE7-4100-91AE-A03DE74CB848}">
  <dimension ref="F3:L10"/>
  <sheetViews>
    <sheetView workbookViewId="0">
      <selection activeCell="C35" sqref="C35"/>
    </sheetView>
  </sheetViews>
  <sheetFormatPr defaultRowHeight="12.75"/>
  <cols>
    <col min="6" max="6" width="20.5703125" customWidth="1"/>
    <col min="7" max="7" width="15.42578125" bestFit="1" customWidth="1"/>
    <col min="8" max="8" width="13.28515625" bestFit="1" customWidth="1"/>
    <col min="9" max="9" width="12.42578125" customWidth="1"/>
    <col min="10" max="10" width="9.28515625" bestFit="1" customWidth="1"/>
    <col min="12" max="12" width="12.28515625" bestFit="1" customWidth="1"/>
  </cols>
  <sheetData>
    <row r="3" spans="6:12">
      <c r="F3" t="s">
        <v>500</v>
      </c>
      <c r="G3" s="296" t="e">
        <f>#REF!</f>
        <v>#REF!</v>
      </c>
      <c r="H3" s="297" t="e">
        <f>#REF!</f>
        <v>#REF!</v>
      </c>
    </row>
    <row r="6" spans="6:12">
      <c r="G6" t="s">
        <v>501</v>
      </c>
      <c r="H6" t="s">
        <v>502</v>
      </c>
      <c r="I6" s="59" t="s">
        <v>499</v>
      </c>
    </row>
    <row r="7" spans="6:12">
      <c r="F7" t="s">
        <v>503</v>
      </c>
      <c r="G7" s="298">
        <v>620</v>
      </c>
      <c r="H7" s="298">
        <f>1.7*1.2</f>
        <v>2.04</v>
      </c>
      <c r="I7" s="298" t="e">
        <f>G3/H7</f>
        <v>#REF!</v>
      </c>
      <c r="J7" s="298" t="e">
        <f>I7/5</f>
        <v>#REF!</v>
      </c>
      <c r="K7" s="298"/>
      <c r="L7" s="298" t="e">
        <f>G7*J7</f>
        <v>#REF!</v>
      </c>
    </row>
    <row r="8" spans="6:12">
      <c r="F8" t="s">
        <v>504</v>
      </c>
      <c r="G8" s="298">
        <v>300</v>
      </c>
      <c r="H8" s="299"/>
      <c r="I8" s="299"/>
      <c r="J8" s="299"/>
      <c r="K8" s="299"/>
      <c r="L8" s="299"/>
    </row>
    <row r="10" spans="6:12">
      <c r="J10">
        <f>106.36/30</f>
        <v>3.5453333333333332</v>
      </c>
      <c r="L10" t="e">
        <f>J7*J10*G7</f>
        <v>#REF!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G40" sqref="G40"/>
    </sheetView>
  </sheetViews>
  <sheetFormatPr defaultRowHeight="12.75"/>
  <sheetData>
    <row r="1" spans="1:3">
      <c r="A1" t="s">
        <v>307</v>
      </c>
    </row>
    <row r="3" spans="1:3">
      <c r="A3" t="s">
        <v>303</v>
      </c>
      <c r="B3">
        <v>0.8</v>
      </c>
      <c r="C3" t="s">
        <v>299</v>
      </c>
    </row>
    <row r="4" spans="1:3">
      <c r="A4" t="s">
        <v>304</v>
      </c>
      <c r="B4">
        <v>1.6</v>
      </c>
      <c r="C4" t="s">
        <v>299</v>
      </c>
    </row>
    <row r="5" spans="1:3">
      <c r="B5">
        <f>SUM(B3:B4)</f>
        <v>2.4000000000000004</v>
      </c>
      <c r="C5" t="s">
        <v>299</v>
      </c>
    </row>
    <row r="7" spans="1:3">
      <c r="A7" t="s">
        <v>300</v>
      </c>
    </row>
    <row r="9" spans="1:3">
      <c r="A9" t="s">
        <v>301</v>
      </c>
      <c r="B9">
        <v>12</v>
      </c>
      <c r="C9" t="s">
        <v>299</v>
      </c>
    </row>
    <row r="10" spans="1:3">
      <c r="A10" t="s">
        <v>302</v>
      </c>
      <c r="B10">
        <v>24</v>
      </c>
      <c r="C10" t="s">
        <v>299</v>
      </c>
    </row>
    <row r="11" spans="1:3">
      <c r="B11">
        <f>SUM(B9:B10)</f>
        <v>36</v>
      </c>
      <c r="C11" t="s">
        <v>299</v>
      </c>
    </row>
    <row r="13" spans="1:3">
      <c r="A13" t="s">
        <v>295</v>
      </c>
    </row>
    <row r="15" spans="1:3">
      <c r="A15" t="s">
        <v>303</v>
      </c>
      <c r="B15">
        <v>2</v>
      </c>
      <c r="C15" t="s">
        <v>299</v>
      </c>
    </row>
    <row r="16" spans="1:3">
      <c r="A16" t="s">
        <v>304</v>
      </c>
      <c r="B16">
        <v>4</v>
      </c>
      <c r="C16" t="s">
        <v>299</v>
      </c>
    </row>
    <row r="17" spans="1:7">
      <c r="B17">
        <f>SUM(B15:B16)</f>
        <v>6</v>
      </c>
    </row>
    <row r="18" spans="1:7">
      <c r="A18" t="s">
        <v>305</v>
      </c>
      <c r="B18">
        <v>0.8</v>
      </c>
      <c r="C18" t="s">
        <v>299</v>
      </c>
    </row>
    <row r="19" spans="1:7">
      <c r="A19" t="s">
        <v>306</v>
      </c>
      <c r="B19">
        <v>1.3</v>
      </c>
    </row>
    <row r="20" spans="1:7">
      <c r="B20">
        <f>SUM(B18:B19)</f>
        <v>2.1</v>
      </c>
    </row>
    <row r="22" spans="1:7">
      <c r="A22" t="s">
        <v>297</v>
      </c>
    </row>
    <row r="24" spans="1:7">
      <c r="A24" s="61" t="s">
        <v>296</v>
      </c>
      <c r="D24" s="61" t="s">
        <v>312</v>
      </c>
    </row>
    <row r="25" spans="1:7">
      <c r="A25" s="61" t="s">
        <v>308</v>
      </c>
      <c r="B25">
        <v>55</v>
      </c>
      <c r="C25" t="s">
        <v>197</v>
      </c>
      <c r="D25">
        <v>520.85</v>
      </c>
      <c r="E25" s="61" t="s">
        <v>298</v>
      </c>
    </row>
    <row r="26" spans="1:7">
      <c r="A26" s="61"/>
    </row>
    <row r="27" spans="1:7">
      <c r="A27" s="61" t="s">
        <v>309</v>
      </c>
      <c r="F27" s="61" t="s">
        <v>60</v>
      </c>
    </row>
    <row r="28" spans="1:7">
      <c r="A28" s="61" t="s">
        <v>308</v>
      </c>
      <c r="B28">
        <v>7</v>
      </c>
      <c r="C28" s="61" t="s">
        <v>197</v>
      </c>
      <c r="D28">
        <v>66.290000000000006</v>
      </c>
      <c r="E28" s="61" t="s">
        <v>298</v>
      </c>
      <c r="F28" s="97">
        <f>1.1*D28</f>
        <v>72.919000000000011</v>
      </c>
      <c r="G28" s="61" t="s">
        <v>298</v>
      </c>
    </row>
    <row r="29" spans="1:7">
      <c r="A29" s="61" t="s">
        <v>311</v>
      </c>
      <c r="B29">
        <v>21</v>
      </c>
      <c r="C29" s="61" t="s">
        <v>197</v>
      </c>
      <c r="D29">
        <v>111.93</v>
      </c>
      <c r="E29" s="61" t="s">
        <v>298</v>
      </c>
      <c r="F29" s="97">
        <f>1.1*D29</f>
        <v>123.12300000000002</v>
      </c>
      <c r="G29" s="61" t="s">
        <v>298</v>
      </c>
    </row>
    <row r="30" spans="1:7">
      <c r="A30" s="61" t="s">
        <v>310</v>
      </c>
      <c r="B30">
        <v>72</v>
      </c>
      <c r="C30" s="61" t="s">
        <v>197</v>
      </c>
      <c r="D30">
        <v>266.39999999999998</v>
      </c>
      <c r="E30" s="61" t="s">
        <v>298</v>
      </c>
      <c r="F30" s="97">
        <f>1.1*D30</f>
        <v>293.04000000000002</v>
      </c>
      <c r="G30" s="61" t="s">
        <v>298</v>
      </c>
    </row>
    <row r="31" spans="1:7">
      <c r="D31">
        <f>SUM(D28:D30)</f>
        <v>444.62</v>
      </c>
      <c r="E31" s="61" t="s">
        <v>298</v>
      </c>
    </row>
    <row r="33" spans="1:5">
      <c r="A33" s="61" t="s">
        <v>313</v>
      </c>
    </row>
    <row r="36" spans="1:5">
      <c r="A36" s="61"/>
      <c r="C36" s="61"/>
    </row>
    <row r="37" spans="1:5">
      <c r="A37" s="61" t="s">
        <v>323</v>
      </c>
      <c r="C37" s="61"/>
      <c r="D37" s="61" t="s">
        <v>325</v>
      </c>
      <c r="E37" s="61"/>
    </row>
    <row r="38" spans="1:5">
      <c r="A38" s="61" t="s">
        <v>314</v>
      </c>
      <c r="C38" s="61" t="s">
        <v>315</v>
      </c>
      <c r="D38" s="61" t="s">
        <v>316</v>
      </c>
    </row>
    <row r="39" spans="1:5">
      <c r="A39" s="61" t="s">
        <v>317</v>
      </c>
      <c r="C39" s="61" t="s">
        <v>318</v>
      </c>
      <c r="D39" s="61" t="s">
        <v>319</v>
      </c>
    </row>
    <row r="40" spans="1:5">
      <c r="A40" s="61" t="s">
        <v>320</v>
      </c>
      <c r="C40" s="61" t="s">
        <v>321</v>
      </c>
      <c r="D40" s="61" t="s">
        <v>322</v>
      </c>
    </row>
    <row r="42" spans="1:5">
      <c r="A42" s="61" t="s">
        <v>324</v>
      </c>
      <c r="D42" s="61" t="s">
        <v>326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34"/>
  <sheetViews>
    <sheetView showGridLines="0" view="pageBreakPreview" topLeftCell="A80" zoomScale="70" zoomScaleNormal="70" zoomScaleSheetLayoutView="70" zoomScalePageLayoutView="55" workbookViewId="0">
      <selection activeCell="L93" sqref="L93"/>
    </sheetView>
  </sheetViews>
  <sheetFormatPr defaultColWidth="9.140625" defaultRowHeight="18.75"/>
  <cols>
    <col min="1" max="1" width="12.42578125" style="3" customWidth="1"/>
    <col min="2" max="2" width="13" style="3" customWidth="1"/>
    <col min="3" max="3" width="85.140625" style="2" customWidth="1"/>
    <col min="4" max="4" width="13" style="3" customWidth="1"/>
    <col min="5" max="5" width="12" style="3" customWidth="1"/>
    <col min="6" max="6" width="19.28515625" style="4" customWidth="1"/>
    <col min="7" max="7" width="18.85546875" style="4" hidden="1" customWidth="1"/>
    <col min="8" max="8" width="18.7109375" style="4" hidden="1" customWidth="1"/>
    <col min="9" max="9" width="28.5703125" style="4" customWidth="1"/>
    <col min="10" max="10" width="14.28515625" style="2" bestFit="1" customWidth="1"/>
    <col min="11" max="11" width="21.42578125" style="2" customWidth="1"/>
    <col min="12" max="12" width="9.140625" style="2"/>
    <col min="13" max="13" width="16.42578125" style="2" bestFit="1" customWidth="1"/>
    <col min="14" max="14" width="14.28515625" style="2" bestFit="1" customWidth="1"/>
    <col min="15" max="27" width="9.140625" style="2"/>
    <col min="28" max="28" width="18.42578125" style="2" bestFit="1" customWidth="1"/>
    <col min="29" max="16384" width="9.140625" style="2"/>
  </cols>
  <sheetData>
    <row r="1" spans="1:11">
      <c r="A1" s="46" t="s">
        <v>6</v>
      </c>
      <c r="B1" s="10" t="s">
        <v>217</v>
      </c>
      <c r="C1" s="11"/>
      <c r="D1" s="12"/>
      <c r="E1" s="12"/>
      <c r="F1" s="13"/>
      <c r="G1" s="13" t="s">
        <v>188</v>
      </c>
      <c r="H1" s="13"/>
      <c r="I1" s="13"/>
    </row>
    <row r="2" spans="1:11">
      <c r="A2" s="46" t="s">
        <v>8</v>
      </c>
      <c r="B2" s="10" t="s">
        <v>9</v>
      </c>
      <c r="C2" s="11"/>
      <c r="D2" s="12"/>
      <c r="E2" s="12"/>
      <c r="F2" s="13"/>
      <c r="G2" s="13" t="s">
        <v>189</v>
      </c>
      <c r="H2" s="13" t="s">
        <v>190</v>
      </c>
      <c r="I2" s="13"/>
    </row>
    <row r="3" spans="1:11" hidden="1">
      <c r="A3" s="46" t="s">
        <v>95</v>
      </c>
      <c r="B3" s="10" t="s">
        <v>96</v>
      </c>
      <c r="C3" s="11"/>
      <c r="D3" s="12"/>
      <c r="E3" s="12"/>
      <c r="F3" s="13"/>
      <c r="G3" s="13"/>
      <c r="H3" s="13"/>
      <c r="I3" s="13"/>
    </row>
    <row r="4" spans="1:11">
      <c r="A4" s="46" t="s">
        <v>137</v>
      </c>
      <c r="B4" s="10" t="s">
        <v>218</v>
      </c>
      <c r="C4" s="11"/>
      <c r="D4" s="12"/>
      <c r="E4" s="12"/>
      <c r="F4" s="13"/>
      <c r="G4" s="13"/>
      <c r="H4" s="13"/>
      <c r="I4" s="13"/>
    </row>
    <row r="5" spans="1:11">
      <c r="A5" s="10"/>
      <c r="B5" s="10"/>
      <c r="C5" s="14"/>
      <c r="D5" s="12"/>
      <c r="E5" s="12"/>
      <c r="F5" s="13"/>
      <c r="G5" s="13"/>
      <c r="H5" s="13"/>
      <c r="I5" s="13"/>
    </row>
    <row r="7" spans="1:11" s="5" customFormat="1" ht="18.75" customHeight="1">
      <c r="A7" s="359" t="s">
        <v>138</v>
      </c>
      <c r="B7" s="359"/>
      <c r="C7" s="360" t="s">
        <v>19</v>
      </c>
      <c r="D7" s="360" t="s">
        <v>2</v>
      </c>
      <c r="E7" s="360" t="s">
        <v>0</v>
      </c>
      <c r="F7" s="353" t="s">
        <v>139</v>
      </c>
      <c r="G7" s="353" t="s">
        <v>140</v>
      </c>
      <c r="H7" s="353" t="s">
        <v>4</v>
      </c>
      <c r="I7" s="353" t="s">
        <v>193</v>
      </c>
    </row>
    <row r="8" spans="1:11" s="5" customFormat="1" ht="23.25" customHeight="1">
      <c r="A8" s="359"/>
      <c r="B8" s="359"/>
      <c r="C8" s="360"/>
      <c r="D8" s="360"/>
      <c r="E8" s="360"/>
      <c r="F8" s="353"/>
      <c r="G8" s="353"/>
      <c r="H8" s="353"/>
      <c r="I8" s="353"/>
    </row>
    <row r="9" spans="1:11" s="5" customFormat="1" ht="23.25" hidden="1" customHeight="1">
      <c r="A9" s="84">
        <v>1</v>
      </c>
      <c r="B9" s="68"/>
      <c r="C9" s="66" t="s">
        <v>142</v>
      </c>
      <c r="D9" s="85"/>
      <c r="E9" s="85"/>
      <c r="F9" s="83"/>
      <c r="G9" s="83"/>
      <c r="H9" s="83"/>
      <c r="I9" s="83"/>
      <c r="K9" s="72"/>
    </row>
    <row r="10" spans="1:11" hidden="1">
      <c r="A10" s="1"/>
      <c r="B10" s="68">
        <f>1+0.01</f>
        <v>1.01</v>
      </c>
      <c r="C10" s="53" t="s">
        <v>169</v>
      </c>
      <c r="D10" s="1">
        <v>1</v>
      </c>
      <c r="E10" s="1" t="s">
        <v>18</v>
      </c>
      <c r="F10" s="54">
        <v>15000</v>
      </c>
      <c r="G10" s="54" t="s">
        <v>177</v>
      </c>
      <c r="H10" s="54"/>
      <c r="I10" s="69"/>
    </row>
    <row r="11" spans="1:11" hidden="1">
      <c r="A11" s="1"/>
      <c r="B11" s="68">
        <f>B10+0.01</f>
        <v>1.02</v>
      </c>
      <c r="C11" s="53" t="s">
        <v>170</v>
      </c>
      <c r="D11" s="1">
        <v>1</v>
      </c>
      <c r="E11" s="1" t="s">
        <v>18</v>
      </c>
      <c r="F11" s="54">
        <v>4500</v>
      </c>
      <c r="G11" s="54"/>
      <c r="H11" s="54"/>
      <c r="I11" s="69"/>
    </row>
    <row r="12" spans="1:11" s="5" customFormat="1" ht="23.25" hidden="1" customHeight="1">
      <c r="A12" s="68"/>
      <c r="B12" s="68">
        <f t="shared" ref="B12:B23" si="0">B11+0.01</f>
        <v>1.03</v>
      </c>
      <c r="C12" s="67" t="s">
        <v>143</v>
      </c>
      <c r="D12" s="1">
        <v>2</v>
      </c>
      <c r="E12" s="1" t="s">
        <v>18</v>
      </c>
      <c r="F12" s="70">
        <v>6500</v>
      </c>
      <c r="G12" s="70"/>
      <c r="H12" s="70"/>
      <c r="I12" s="73"/>
    </row>
    <row r="13" spans="1:11" hidden="1">
      <c r="A13" s="1"/>
      <c r="B13" s="68">
        <f t="shared" si="0"/>
        <v>1.04</v>
      </c>
      <c r="C13" s="53" t="s">
        <v>145</v>
      </c>
      <c r="D13" s="1">
        <v>4</v>
      </c>
      <c r="E13" s="1" t="s">
        <v>18</v>
      </c>
      <c r="F13" s="54">
        <v>4000</v>
      </c>
      <c r="G13" s="54"/>
      <c r="H13" s="54"/>
      <c r="I13" s="69"/>
    </row>
    <row r="14" spans="1:11" hidden="1">
      <c r="A14" s="1"/>
      <c r="B14" s="68">
        <f t="shared" si="0"/>
        <v>1.05</v>
      </c>
      <c r="C14" s="53" t="s">
        <v>160</v>
      </c>
      <c r="D14" s="1">
        <v>1</v>
      </c>
      <c r="E14" s="1" t="s">
        <v>1</v>
      </c>
      <c r="F14" s="54"/>
      <c r="G14" s="54"/>
      <c r="H14" s="54"/>
      <c r="I14" s="69"/>
    </row>
    <row r="15" spans="1:11" s="5" customFormat="1" ht="23.25" hidden="1" customHeight="1">
      <c r="A15" s="68"/>
      <c r="B15" s="68">
        <f t="shared" si="0"/>
        <v>1.06</v>
      </c>
      <c r="C15" s="67" t="s">
        <v>144</v>
      </c>
      <c r="D15" s="1">
        <v>1</v>
      </c>
      <c r="E15" s="1" t="s">
        <v>1</v>
      </c>
      <c r="F15" s="70">
        <v>35000</v>
      </c>
      <c r="G15" s="70"/>
      <c r="H15" s="70"/>
      <c r="I15" s="73"/>
    </row>
    <row r="16" spans="1:11" hidden="1">
      <c r="A16" s="1"/>
      <c r="B16" s="68">
        <f t="shared" si="0"/>
        <v>1.07</v>
      </c>
      <c r="C16" s="53" t="s">
        <v>159</v>
      </c>
      <c r="D16" s="1">
        <v>8</v>
      </c>
      <c r="E16" s="1" t="s">
        <v>18</v>
      </c>
      <c r="F16" s="54">
        <v>4000</v>
      </c>
      <c r="G16" s="54"/>
      <c r="H16" s="54"/>
      <c r="I16" s="69"/>
    </row>
    <row r="17" spans="1:11" hidden="1">
      <c r="A17" s="1"/>
      <c r="B17" s="68">
        <f t="shared" si="0"/>
        <v>1.08</v>
      </c>
      <c r="C17" s="53" t="s">
        <v>158</v>
      </c>
      <c r="D17" s="1">
        <v>2</v>
      </c>
      <c r="E17" s="1" t="s">
        <v>18</v>
      </c>
      <c r="F17" s="54"/>
      <c r="G17" s="54"/>
      <c r="H17" s="54"/>
      <c r="I17" s="69"/>
    </row>
    <row r="18" spans="1:11" hidden="1">
      <c r="A18" s="1"/>
      <c r="B18" s="68">
        <f t="shared" si="0"/>
        <v>1.0900000000000001</v>
      </c>
      <c r="C18" s="53" t="s">
        <v>157</v>
      </c>
      <c r="D18" s="1">
        <v>1</v>
      </c>
      <c r="E18" s="1" t="s">
        <v>18</v>
      </c>
      <c r="F18" s="54"/>
      <c r="G18" s="54"/>
      <c r="H18" s="54"/>
      <c r="I18" s="69"/>
    </row>
    <row r="19" spans="1:11" ht="37.5" hidden="1">
      <c r="A19" s="1"/>
      <c r="B19" s="68">
        <f t="shared" si="0"/>
        <v>1.1000000000000001</v>
      </c>
      <c r="C19" s="53" t="s">
        <v>162</v>
      </c>
      <c r="D19" s="1">
        <v>3</v>
      </c>
      <c r="E19" s="1" t="s">
        <v>18</v>
      </c>
      <c r="F19" s="54"/>
      <c r="G19" s="54"/>
      <c r="H19" s="54"/>
      <c r="I19" s="69"/>
    </row>
    <row r="20" spans="1:11" hidden="1">
      <c r="A20" s="1"/>
      <c r="B20" s="68">
        <f t="shared" si="0"/>
        <v>1.1100000000000001</v>
      </c>
      <c r="C20" s="53" t="s">
        <v>161</v>
      </c>
      <c r="D20" s="1">
        <v>1</v>
      </c>
      <c r="E20" s="1" t="s">
        <v>18</v>
      </c>
      <c r="F20" s="54"/>
      <c r="G20" s="54"/>
      <c r="H20" s="54"/>
      <c r="I20" s="69"/>
    </row>
    <row r="21" spans="1:11" hidden="1">
      <c r="A21" s="1"/>
      <c r="B21" s="68">
        <f t="shared" si="0"/>
        <v>1.1200000000000001</v>
      </c>
      <c r="C21" s="53" t="s">
        <v>163</v>
      </c>
      <c r="D21" s="1">
        <v>2</v>
      </c>
      <c r="E21" s="1" t="s">
        <v>18</v>
      </c>
      <c r="F21" s="54"/>
      <c r="G21" s="54"/>
      <c r="H21" s="54"/>
      <c r="I21" s="69"/>
    </row>
    <row r="22" spans="1:11" hidden="1">
      <c r="A22" s="1"/>
      <c r="B22" s="68">
        <f t="shared" si="0"/>
        <v>1.1300000000000001</v>
      </c>
      <c r="C22" s="53" t="s">
        <v>164</v>
      </c>
      <c r="D22" s="1">
        <v>1</v>
      </c>
      <c r="E22" s="1" t="s">
        <v>18</v>
      </c>
      <c r="F22" s="54"/>
      <c r="G22" s="54"/>
      <c r="H22" s="54"/>
      <c r="I22" s="69"/>
    </row>
    <row r="23" spans="1:11" hidden="1">
      <c r="A23" s="1"/>
      <c r="B23" s="68">
        <f t="shared" si="0"/>
        <v>1.1400000000000001</v>
      </c>
      <c r="C23" s="53" t="s">
        <v>165</v>
      </c>
      <c r="D23" s="1">
        <v>1</v>
      </c>
      <c r="E23" s="1" t="s">
        <v>18</v>
      </c>
      <c r="F23" s="54"/>
      <c r="G23" s="54"/>
      <c r="H23" s="54"/>
      <c r="I23" s="69"/>
    </row>
    <row r="24" spans="1:11" s="11" customFormat="1" hidden="1">
      <c r="A24" s="85">
        <v>2</v>
      </c>
      <c r="B24" s="74"/>
      <c r="C24" s="57" t="s">
        <v>148</v>
      </c>
      <c r="D24" s="1"/>
      <c r="E24" s="1"/>
      <c r="F24" s="54"/>
      <c r="G24" s="54"/>
      <c r="H24" s="54"/>
      <c r="I24" s="69"/>
      <c r="K24" s="15"/>
    </row>
    <row r="25" spans="1:11" s="5" customFormat="1" hidden="1">
      <c r="A25" s="68"/>
      <c r="B25" s="1">
        <v>2.0099999999999998</v>
      </c>
      <c r="C25" s="67" t="s">
        <v>149</v>
      </c>
      <c r="D25" s="1">
        <v>1</v>
      </c>
      <c r="E25" s="1" t="s">
        <v>1</v>
      </c>
      <c r="F25" s="70">
        <v>30000</v>
      </c>
      <c r="G25" s="70"/>
      <c r="H25" s="70"/>
      <c r="I25" s="73"/>
    </row>
    <row r="26" spans="1:11" hidden="1">
      <c r="A26" s="1"/>
      <c r="B26" s="1">
        <v>2.02</v>
      </c>
      <c r="C26" s="53" t="s">
        <v>155</v>
      </c>
      <c r="D26" s="1">
        <v>5</v>
      </c>
      <c r="E26" s="1" t="s">
        <v>1</v>
      </c>
      <c r="F26" s="54">
        <v>60000</v>
      </c>
      <c r="G26" s="54"/>
      <c r="H26" s="54"/>
      <c r="I26" s="69"/>
    </row>
    <row r="27" spans="1:11">
      <c r="A27" s="85">
        <v>1</v>
      </c>
      <c r="B27" s="1"/>
      <c r="C27" s="55" t="s">
        <v>146</v>
      </c>
      <c r="D27" s="1"/>
      <c r="E27" s="1"/>
      <c r="F27" s="54"/>
      <c r="G27" s="54"/>
      <c r="H27" s="54"/>
      <c r="I27" s="69"/>
      <c r="K27" s="15"/>
    </row>
    <row r="28" spans="1:11" s="11" customFormat="1">
      <c r="A28" s="74"/>
      <c r="B28" s="1">
        <v>1.01</v>
      </c>
      <c r="C28" s="56" t="s">
        <v>156</v>
      </c>
      <c r="D28" s="1">
        <v>1</v>
      </c>
      <c r="E28" s="1" t="s">
        <v>197</v>
      </c>
      <c r="F28" s="54">
        <v>34000</v>
      </c>
      <c r="G28" s="54"/>
      <c r="H28" s="54"/>
      <c r="I28" s="69">
        <f>D28*F28</f>
        <v>34000</v>
      </c>
    </row>
    <row r="29" spans="1:11" s="11" customFormat="1">
      <c r="A29" s="74"/>
      <c r="B29" s="1">
        <f>0.01+B28</f>
        <v>1.02</v>
      </c>
      <c r="C29" s="56" t="s">
        <v>215</v>
      </c>
      <c r="D29" s="1">
        <v>1</v>
      </c>
      <c r="E29" s="1" t="s">
        <v>197</v>
      </c>
      <c r="F29" s="54">
        <v>26000</v>
      </c>
      <c r="G29" s="54"/>
      <c r="H29" s="54"/>
      <c r="I29" s="69">
        <f>D29*F29</f>
        <v>26000</v>
      </c>
    </row>
    <row r="30" spans="1:11" s="11" customFormat="1">
      <c r="A30" s="74"/>
      <c r="B30" s="1">
        <f>0.01+B29</f>
        <v>1.03</v>
      </c>
      <c r="C30" s="56" t="s">
        <v>216</v>
      </c>
      <c r="D30" s="1">
        <v>1</v>
      </c>
      <c r="E30" s="1" t="s">
        <v>197</v>
      </c>
      <c r="F30" s="54">
        <v>23000</v>
      </c>
      <c r="G30" s="54"/>
      <c r="H30" s="54"/>
      <c r="I30" s="69">
        <f>D30*F30</f>
        <v>23000</v>
      </c>
    </row>
    <row r="31" spans="1:11" s="6" customFormat="1">
      <c r="A31" s="1"/>
      <c r="B31" s="1"/>
      <c r="C31" s="53"/>
      <c r="D31" s="1"/>
      <c r="E31" s="1"/>
      <c r="F31" s="80" t="s">
        <v>208</v>
      </c>
      <c r="G31" s="80"/>
      <c r="H31" s="80"/>
      <c r="I31" s="81">
        <f>SUM(I28:I30)</f>
        <v>83000</v>
      </c>
      <c r="K31" s="79"/>
    </row>
    <row r="32" spans="1:11" s="11" customFormat="1">
      <c r="A32" s="85">
        <v>2</v>
      </c>
      <c r="B32" s="74"/>
      <c r="C32" s="57" t="s">
        <v>147</v>
      </c>
      <c r="D32" s="1"/>
      <c r="E32" s="1"/>
      <c r="F32" s="54"/>
      <c r="G32" s="54"/>
      <c r="H32" s="54"/>
      <c r="I32" s="69"/>
      <c r="K32" s="15"/>
    </row>
    <row r="33" spans="1:11">
      <c r="A33" s="1"/>
      <c r="B33" s="68">
        <v>2.0099999999999998</v>
      </c>
      <c r="C33" s="53" t="s">
        <v>200</v>
      </c>
      <c r="D33" s="1">
        <v>2</v>
      </c>
      <c r="E33" s="1" t="s">
        <v>1</v>
      </c>
      <c r="F33" s="54">
        <v>13000</v>
      </c>
      <c r="G33" s="54"/>
      <c r="H33" s="54"/>
      <c r="I33" s="69">
        <f t="shared" ref="I33:I95" si="1">D33*F33</f>
        <v>26000</v>
      </c>
    </row>
    <row r="34" spans="1:11">
      <c r="A34" s="1"/>
      <c r="B34" s="68">
        <f>B33+0.01</f>
        <v>2.0199999999999996</v>
      </c>
      <c r="C34" s="53" t="s">
        <v>219</v>
      </c>
      <c r="D34" s="1">
        <v>1</v>
      </c>
      <c r="E34" s="1" t="s">
        <v>1</v>
      </c>
      <c r="F34" s="54">
        <v>5600</v>
      </c>
      <c r="G34" s="54"/>
      <c r="H34" s="54"/>
      <c r="I34" s="69">
        <f t="shared" si="1"/>
        <v>5600</v>
      </c>
    </row>
    <row r="35" spans="1:11">
      <c r="A35" s="1"/>
      <c r="B35" s="68">
        <f>B34+0.01</f>
        <v>2.0299999999999994</v>
      </c>
      <c r="C35" s="53" t="s">
        <v>202</v>
      </c>
      <c r="D35" s="1">
        <v>1</v>
      </c>
      <c r="E35" s="1" t="s">
        <v>1</v>
      </c>
      <c r="F35" s="54">
        <v>8000</v>
      </c>
      <c r="G35" s="54"/>
      <c r="H35" s="54"/>
      <c r="I35" s="69">
        <f t="shared" si="1"/>
        <v>8000</v>
      </c>
    </row>
    <row r="36" spans="1:11">
      <c r="A36" s="1"/>
      <c r="B36" s="68"/>
      <c r="C36" s="53"/>
      <c r="D36" s="1"/>
      <c r="E36" s="1"/>
      <c r="F36" s="80" t="s">
        <v>208</v>
      </c>
      <c r="G36" s="80"/>
      <c r="H36" s="80"/>
      <c r="I36" s="81">
        <f>SUM(I33:I35)</f>
        <v>39600</v>
      </c>
      <c r="K36" s="15"/>
    </row>
    <row r="37" spans="1:11" s="11" customFormat="1">
      <c r="A37" s="85">
        <v>3</v>
      </c>
      <c r="B37" s="74"/>
      <c r="C37" s="57" t="s">
        <v>150</v>
      </c>
      <c r="D37" s="1"/>
      <c r="E37" s="1"/>
      <c r="F37" s="54"/>
      <c r="G37" s="54"/>
      <c r="H37" s="54"/>
      <c r="I37" s="69"/>
      <c r="K37" s="15"/>
    </row>
    <row r="38" spans="1:11" s="11" customFormat="1">
      <c r="A38" s="85"/>
      <c r="B38" s="74"/>
      <c r="C38" s="56" t="s">
        <v>181</v>
      </c>
      <c r="D38" s="1"/>
      <c r="E38" s="1"/>
      <c r="F38" s="54"/>
      <c r="G38" s="54"/>
      <c r="H38" s="54"/>
      <c r="I38" s="69"/>
      <c r="K38" s="15"/>
    </row>
    <row r="39" spans="1:11" s="5" customFormat="1">
      <c r="A39" s="68"/>
      <c r="B39" s="1">
        <v>3.01</v>
      </c>
      <c r="C39" s="71" t="s">
        <v>194</v>
      </c>
      <c r="D39" s="1">
        <v>12</v>
      </c>
      <c r="E39" s="1" t="s">
        <v>197</v>
      </c>
      <c r="F39" s="70">
        <v>1300</v>
      </c>
      <c r="G39" s="70"/>
      <c r="H39" s="70"/>
      <c r="I39" s="69">
        <f t="shared" si="1"/>
        <v>15600</v>
      </c>
    </row>
    <row r="40" spans="1:11" s="5" customFormat="1">
      <c r="A40" s="68"/>
      <c r="B40" s="1">
        <f t="shared" ref="B40:B45" si="2">B39+0.01</f>
        <v>3.0199999999999996</v>
      </c>
      <c r="C40" s="71" t="s">
        <v>195</v>
      </c>
      <c r="D40" s="1">
        <v>8</v>
      </c>
      <c r="E40" s="1" t="s">
        <v>197</v>
      </c>
      <c r="F40" s="70">
        <v>60</v>
      </c>
      <c r="G40" s="70"/>
      <c r="H40" s="70"/>
      <c r="I40" s="69">
        <f t="shared" si="1"/>
        <v>480</v>
      </c>
    </row>
    <row r="41" spans="1:11" s="5" customFormat="1">
      <c r="A41" s="68"/>
      <c r="B41" s="1">
        <f t="shared" si="2"/>
        <v>3.0299999999999994</v>
      </c>
      <c r="C41" s="71" t="s">
        <v>176</v>
      </c>
      <c r="D41" s="1">
        <v>28</v>
      </c>
      <c r="E41" s="1" t="s">
        <v>197</v>
      </c>
      <c r="F41" s="70">
        <v>80</v>
      </c>
      <c r="G41" s="70"/>
      <c r="H41" s="70"/>
      <c r="I41" s="69">
        <f t="shared" si="1"/>
        <v>2240</v>
      </c>
    </row>
    <row r="42" spans="1:11" s="5" customFormat="1">
      <c r="A42" s="68"/>
      <c r="B42" s="1">
        <f t="shared" si="2"/>
        <v>3.0399999999999991</v>
      </c>
      <c r="C42" s="71" t="s">
        <v>225</v>
      </c>
      <c r="D42" s="1"/>
      <c r="E42" s="1" t="s">
        <v>197</v>
      </c>
      <c r="F42" s="70"/>
      <c r="G42" s="70"/>
      <c r="H42" s="70"/>
      <c r="I42" s="69"/>
    </row>
    <row r="43" spans="1:11" s="5" customFormat="1">
      <c r="A43" s="68"/>
      <c r="B43" s="1">
        <f t="shared" si="2"/>
        <v>3.0499999999999989</v>
      </c>
      <c r="C43" s="71" t="s">
        <v>228</v>
      </c>
      <c r="D43" s="1"/>
      <c r="E43" s="1" t="s">
        <v>197</v>
      </c>
      <c r="F43" s="70"/>
      <c r="G43" s="70"/>
      <c r="H43" s="70"/>
      <c r="I43" s="69"/>
    </row>
    <row r="44" spans="1:11">
      <c r="A44" s="1"/>
      <c r="B44" s="1">
        <f t="shared" si="2"/>
        <v>3.0599999999999987</v>
      </c>
      <c r="C44" s="76" t="s">
        <v>175</v>
      </c>
      <c r="D44" s="1">
        <v>5</v>
      </c>
      <c r="E44" s="1" t="s">
        <v>134</v>
      </c>
      <c r="F44" s="54">
        <v>140</v>
      </c>
      <c r="G44" s="54"/>
      <c r="H44" s="54"/>
      <c r="I44" s="69">
        <f t="shared" si="1"/>
        <v>700</v>
      </c>
    </row>
    <row r="45" spans="1:11" s="5" customFormat="1" ht="23.25" customHeight="1">
      <c r="A45" s="68"/>
      <c r="B45" s="1">
        <f t="shared" si="2"/>
        <v>3.0699999999999985</v>
      </c>
      <c r="C45" s="71" t="s">
        <v>166</v>
      </c>
      <c r="D45" s="1">
        <v>6</v>
      </c>
      <c r="E45" s="1" t="s">
        <v>105</v>
      </c>
      <c r="F45" s="70">
        <v>80</v>
      </c>
      <c r="G45" s="70"/>
      <c r="H45" s="70"/>
      <c r="I45" s="69">
        <f t="shared" si="1"/>
        <v>480</v>
      </c>
    </row>
    <row r="46" spans="1:11" s="5" customFormat="1">
      <c r="A46" s="68"/>
      <c r="B46" s="1"/>
      <c r="C46" s="67" t="s">
        <v>117</v>
      </c>
      <c r="D46" s="1"/>
      <c r="E46" s="1"/>
      <c r="F46" s="70"/>
      <c r="G46" s="70"/>
      <c r="H46" s="70"/>
      <c r="I46" s="69"/>
    </row>
    <row r="47" spans="1:11" s="5" customFormat="1">
      <c r="A47" s="68"/>
      <c r="B47" s="1">
        <f>B45+0.01</f>
        <v>3.0799999999999983</v>
      </c>
      <c r="C47" s="71" t="s">
        <v>168</v>
      </c>
      <c r="D47" s="1">
        <v>75</v>
      </c>
      <c r="E47" s="1" t="s">
        <v>197</v>
      </c>
      <c r="F47" s="70">
        <v>20</v>
      </c>
      <c r="G47" s="70"/>
      <c r="H47" s="70"/>
      <c r="I47" s="69">
        <f t="shared" si="1"/>
        <v>1500</v>
      </c>
    </row>
    <row r="48" spans="1:11">
      <c r="A48" s="1"/>
      <c r="B48" s="1">
        <f>B47+0.01</f>
        <v>3.0899999999999981</v>
      </c>
      <c r="C48" s="76" t="s">
        <v>167</v>
      </c>
      <c r="D48" s="1">
        <v>75</v>
      </c>
      <c r="E48" s="1" t="s">
        <v>197</v>
      </c>
      <c r="F48" s="54">
        <v>20</v>
      </c>
      <c r="G48" s="54"/>
      <c r="H48" s="54"/>
      <c r="I48" s="69">
        <f t="shared" si="1"/>
        <v>1500</v>
      </c>
    </row>
    <row r="49" spans="1:11" s="5" customFormat="1">
      <c r="A49" s="68"/>
      <c r="B49" s="1">
        <f t="shared" ref="B49:B55" si="3">B48+0.01</f>
        <v>3.0999999999999979</v>
      </c>
      <c r="C49" s="71" t="s">
        <v>171</v>
      </c>
      <c r="D49" s="1">
        <v>5</v>
      </c>
      <c r="E49" s="1" t="s">
        <v>197</v>
      </c>
      <c r="F49" s="70">
        <v>50</v>
      </c>
      <c r="G49" s="70"/>
      <c r="H49" s="70"/>
      <c r="I49" s="69">
        <f t="shared" si="1"/>
        <v>250</v>
      </c>
    </row>
    <row r="50" spans="1:11" s="5" customFormat="1">
      <c r="A50" s="68"/>
      <c r="B50" s="1">
        <f t="shared" si="3"/>
        <v>3.1099999999999977</v>
      </c>
      <c r="C50" s="71" t="s">
        <v>182</v>
      </c>
      <c r="D50" s="1">
        <v>4</v>
      </c>
      <c r="E50" s="1" t="s">
        <v>136</v>
      </c>
      <c r="F50" s="70">
        <v>660</v>
      </c>
      <c r="G50" s="70"/>
      <c r="H50" s="70"/>
      <c r="I50" s="69">
        <f t="shared" si="1"/>
        <v>2640</v>
      </c>
    </row>
    <row r="51" spans="1:11" s="5" customFormat="1">
      <c r="A51" s="68"/>
      <c r="B51" s="1">
        <f t="shared" si="3"/>
        <v>3.1199999999999974</v>
      </c>
      <c r="C51" s="71" t="s">
        <v>183</v>
      </c>
      <c r="D51" s="1">
        <v>6</v>
      </c>
      <c r="E51" s="1" t="s">
        <v>136</v>
      </c>
      <c r="F51" s="70">
        <v>650</v>
      </c>
      <c r="G51" s="70"/>
      <c r="H51" s="70"/>
      <c r="I51" s="69">
        <f t="shared" si="1"/>
        <v>3900</v>
      </c>
    </row>
    <row r="52" spans="1:11" s="5" customFormat="1">
      <c r="A52" s="68"/>
      <c r="B52" s="1">
        <f t="shared" si="3"/>
        <v>3.1299999999999972</v>
      </c>
      <c r="C52" s="71" t="s">
        <v>184</v>
      </c>
      <c r="D52" s="1">
        <v>3</v>
      </c>
      <c r="E52" s="1" t="s">
        <v>136</v>
      </c>
      <c r="F52" s="70">
        <v>420</v>
      </c>
      <c r="G52" s="70"/>
      <c r="H52" s="70"/>
      <c r="I52" s="69">
        <f t="shared" si="1"/>
        <v>1260</v>
      </c>
    </row>
    <row r="53" spans="1:11" s="5" customFormat="1">
      <c r="A53" s="68"/>
      <c r="B53" s="1">
        <f t="shared" si="3"/>
        <v>3.139999999999997</v>
      </c>
      <c r="C53" s="71" t="s">
        <v>224</v>
      </c>
      <c r="D53" s="1">
        <v>3</v>
      </c>
      <c r="E53" s="1" t="s">
        <v>136</v>
      </c>
      <c r="F53" s="70">
        <v>860</v>
      </c>
      <c r="G53" s="70"/>
      <c r="H53" s="70"/>
      <c r="I53" s="69">
        <f t="shared" si="1"/>
        <v>2580</v>
      </c>
    </row>
    <row r="54" spans="1:11" s="5" customFormat="1">
      <c r="A54" s="68"/>
      <c r="B54" s="1">
        <f t="shared" si="3"/>
        <v>3.1499999999999968</v>
      </c>
      <c r="C54" s="71" t="s">
        <v>186</v>
      </c>
      <c r="D54" s="1">
        <v>1</v>
      </c>
      <c r="E54" s="1" t="s">
        <v>174</v>
      </c>
      <c r="F54" s="70">
        <v>180</v>
      </c>
      <c r="G54" s="70"/>
      <c r="H54" s="70"/>
      <c r="I54" s="69">
        <f t="shared" si="1"/>
        <v>180</v>
      </c>
    </row>
    <row r="55" spans="1:11" s="5" customFormat="1">
      <c r="A55" s="68"/>
      <c r="B55" s="1">
        <f t="shared" si="3"/>
        <v>3.1599999999999966</v>
      </c>
      <c r="C55" s="71" t="s">
        <v>185</v>
      </c>
      <c r="D55" s="1">
        <v>1</v>
      </c>
      <c r="E55" s="1" t="s">
        <v>174</v>
      </c>
      <c r="F55" s="70">
        <v>620</v>
      </c>
      <c r="G55" s="70"/>
      <c r="H55" s="70"/>
      <c r="I55" s="69">
        <f t="shared" si="1"/>
        <v>620</v>
      </c>
      <c r="K55" s="72">
        <f>SUM(I38:I55)</f>
        <v>33930</v>
      </c>
    </row>
    <row r="56" spans="1:11" s="5" customFormat="1">
      <c r="A56" s="68"/>
      <c r="B56" s="1"/>
      <c r="C56" s="71"/>
      <c r="D56" s="1"/>
      <c r="E56" s="1"/>
      <c r="F56" s="82" t="s">
        <v>208</v>
      </c>
      <c r="G56" s="82"/>
      <c r="H56" s="82"/>
      <c r="I56" s="81">
        <f>SUM(I39:I55)</f>
        <v>33930</v>
      </c>
      <c r="K56" s="72"/>
    </row>
    <row r="57" spans="1:11" s="11" customFormat="1">
      <c r="A57" s="85">
        <v>4</v>
      </c>
      <c r="B57" s="74"/>
      <c r="C57" s="57" t="s">
        <v>3</v>
      </c>
      <c r="D57" s="1"/>
      <c r="E57" s="1"/>
      <c r="F57" s="54"/>
      <c r="G57" s="54"/>
      <c r="H57" s="54"/>
      <c r="I57" s="69"/>
      <c r="K57" s="15"/>
    </row>
    <row r="58" spans="1:11" s="5" customFormat="1">
      <c r="A58" s="68"/>
      <c r="B58" s="1">
        <v>4.01</v>
      </c>
      <c r="C58" s="67" t="s">
        <v>284</v>
      </c>
      <c r="D58" s="1">
        <v>38</v>
      </c>
      <c r="E58" s="1" t="s">
        <v>172</v>
      </c>
      <c r="F58" s="70">
        <v>1300</v>
      </c>
      <c r="G58" s="70"/>
      <c r="H58" s="70"/>
      <c r="I58" s="69">
        <f t="shared" si="1"/>
        <v>49400</v>
      </c>
    </row>
    <row r="59" spans="1:11">
      <c r="A59" s="1"/>
      <c r="B59" s="1">
        <v>4.0199999999999996</v>
      </c>
      <c r="C59" s="53" t="s">
        <v>229</v>
      </c>
      <c r="D59" s="1">
        <v>24</v>
      </c>
      <c r="E59" s="1" t="s">
        <v>197</v>
      </c>
      <c r="F59" s="54">
        <v>230</v>
      </c>
      <c r="G59" s="54"/>
      <c r="H59" s="54"/>
      <c r="I59" s="69">
        <f t="shared" si="1"/>
        <v>5520</v>
      </c>
      <c r="K59" s="15">
        <f>SUM(I58:I59)</f>
        <v>54920</v>
      </c>
    </row>
    <row r="60" spans="1:11">
      <c r="A60" s="1"/>
      <c r="B60" s="1"/>
      <c r="C60" s="53"/>
      <c r="D60" s="1"/>
      <c r="E60" s="1"/>
      <c r="F60" s="80" t="s">
        <v>208</v>
      </c>
      <c r="G60" s="80"/>
      <c r="H60" s="80"/>
      <c r="I60" s="81">
        <f>SUM(I58:I59)</f>
        <v>54920</v>
      </c>
      <c r="K60" s="15"/>
    </row>
    <row r="61" spans="1:11" s="11" customFormat="1">
      <c r="A61" s="85">
        <v>5</v>
      </c>
      <c r="B61" s="74"/>
      <c r="C61" s="57" t="s">
        <v>151</v>
      </c>
      <c r="D61" s="1"/>
      <c r="E61" s="1"/>
      <c r="F61" s="54"/>
      <c r="G61" s="54"/>
      <c r="H61" s="54"/>
      <c r="I61" s="69"/>
      <c r="K61" s="15"/>
    </row>
    <row r="62" spans="1:11" s="11" customFormat="1">
      <c r="A62" s="85"/>
      <c r="B62" s="74"/>
      <c r="C62" s="53" t="s">
        <v>187</v>
      </c>
      <c r="D62" s="1"/>
      <c r="E62" s="1"/>
      <c r="F62" s="54"/>
      <c r="G62" s="54"/>
      <c r="H62" s="54"/>
      <c r="I62" s="69"/>
      <c r="K62" s="15"/>
    </row>
    <row r="63" spans="1:11" s="5" customFormat="1">
      <c r="A63" s="68"/>
      <c r="B63" s="1">
        <v>5.01</v>
      </c>
      <c r="C63" s="77" t="s">
        <v>191</v>
      </c>
      <c r="D63" s="1">
        <v>3</v>
      </c>
      <c r="E63" s="1" t="s">
        <v>197</v>
      </c>
      <c r="F63" s="70">
        <v>1270</v>
      </c>
      <c r="G63" s="70"/>
      <c r="H63" s="70"/>
      <c r="I63" s="69">
        <f t="shared" si="1"/>
        <v>3810</v>
      </c>
    </row>
    <row r="64" spans="1:11">
      <c r="A64" s="1"/>
      <c r="B64" s="1">
        <f t="shared" ref="B64:B72" si="4">B63+0.01</f>
        <v>5.0199999999999996</v>
      </c>
      <c r="C64" s="77" t="s">
        <v>192</v>
      </c>
      <c r="D64" s="1">
        <v>5</v>
      </c>
      <c r="E64" s="1" t="s">
        <v>197</v>
      </c>
      <c r="F64" s="54">
        <v>760</v>
      </c>
      <c r="G64" s="54"/>
      <c r="H64" s="54"/>
      <c r="I64" s="69">
        <f t="shared" si="1"/>
        <v>3800</v>
      </c>
    </row>
    <row r="65" spans="1:11" s="5" customFormat="1">
      <c r="A65" s="68"/>
      <c r="B65" s="1">
        <f t="shared" si="4"/>
        <v>5.0299999999999994</v>
      </c>
      <c r="C65" s="71" t="s">
        <v>103</v>
      </c>
      <c r="D65" s="1">
        <v>4</v>
      </c>
      <c r="E65" s="1" t="s">
        <v>105</v>
      </c>
      <c r="F65" s="70">
        <v>90</v>
      </c>
      <c r="G65" s="70"/>
      <c r="H65" s="70"/>
      <c r="I65" s="69">
        <f t="shared" si="1"/>
        <v>360</v>
      </c>
    </row>
    <row r="66" spans="1:11" s="5" customFormat="1">
      <c r="A66" s="68"/>
      <c r="B66" s="1">
        <f t="shared" si="4"/>
        <v>5.0399999999999991</v>
      </c>
      <c r="C66" s="71" t="s">
        <v>226</v>
      </c>
      <c r="D66" s="1">
        <v>14</v>
      </c>
      <c r="E66" s="1" t="s">
        <v>197</v>
      </c>
      <c r="F66" s="70">
        <v>40</v>
      </c>
      <c r="G66" s="70"/>
      <c r="H66" s="70"/>
      <c r="I66" s="69">
        <f t="shared" si="1"/>
        <v>560</v>
      </c>
    </row>
    <row r="67" spans="1:11" s="5" customFormat="1">
      <c r="A67" s="68"/>
      <c r="B67" s="1">
        <f t="shared" si="4"/>
        <v>5.0499999999999989</v>
      </c>
      <c r="C67" s="78" t="s">
        <v>196</v>
      </c>
      <c r="D67" s="1">
        <v>32</v>
      </c>
      <c r="E67" s="1" t="s">
        <v>197</v>
      </c>
      <c r="F67" s="70">
        <v>740</v>
      </c>
      <c r="G67" s="70"/>
      <c r="H67" s="70"/>
      <c r="I67" s="69">
        <f t="shared" si="1"/>
        <v>23680</v>
      </c>
    </row>
    <row r="68" spans="1:11" s="5" customFormat="1">
      <c r="A68" s="68"/>
      <c r="B68" s="1">
        <f t="shared" si="4"/>
        <v>5.0599999999999987</v>
      </c>
      <c r="C68" s="71" t="s">
        <v>198</v>
      </c>
      <c r="D68" s="1">
        <v>13</v>
      </c>
      <c r="E68" s="1" t="s">
        <v>197</v>
      </c>
      <c r="F68" s="70">
        <v>140</v>
      </c>
      <c r="G68" s="70"/>
      <c r="H68" s="70"/>
      <c r="I68" s="69">
        <f t="shared" si="1"/>
        <v>1820</v>
      </c>
    </row>
    <row r="69" spans="1:11" s="5" customFormat="1">
      <c r="A69" s="68"/>
      <c r="B69" s="1">
        <f t="shared" si="4"/>
        <v>5.0699999999999985</v>
      </c>
      <c r="C69" s="71" t="s">
        <v>199</v>
      </c>
      <c r="D69" s="1">
        <v>45</v>
      </c>
      <c r="E69" s="1" t="s">
        <v>197</v>
      </c>
      <c r="F69" s="70">
        <v>150</v>
      </c>
      <c r="G69" s="70"/>
      <c r="H69" s="70"/>
      <c r="I69" s="69">
        <f t="shared" si="1"/>
        <v>6750</v>
      </c>
    </row>
    <row r="70" spans="1:11" s="5" customFormat="1">
      <c r="A70" s="68"/>
      <c r="B70" s="1">
        <f t="shared" si="4"/>
        <v>5.0799999999999983</v>
      </c>
      <c r="C70" s="71" t="s">
        <v>204</v>
      </c>
      <c r="D70" s="1">
        <v>350</v>
      </c>
      <c r="E70" s="1" t="s">
        <v>197</v>
      </c>
      <c r="F70" s="70">
        <v>0.8</v>
      </c>
      <c r="G70" s="70"/>
      <c r="H70" s="70"/>
      <c r="I70" s="69">
        <f t="shared" si="1"/>
        <v>280</v>
      </c>
    </row>
    <row r="71" spans="1:11" s="5" customFormat="1">
      <c r="A71" s="68"/>
      <c r="B71" s="1">
        <f t="shared" si="4"/>
        <v>5.0899999999999981</v>
      </c>
      <c r="C71" s="71" t="s">
        <v>203</v>
      </c>
      <c r="D71" s="1">
        <v>1200</v>
      </c>
      <c r="E71" s="1" t="s">
        <v>197</v>
      </c>
      <c r="F71" s="70">
        <v>1.4</v>
      </c>
      <c r="G71" s="70"/>
      <c r="H71" s="70"/>
      <c r="I71" s="69">
        <f t="shared" si="1"/>
        <v>1680</v>
      </c>
    </row>
    <row r="72" spans="1:11" s="5" customFormat="1">
      <c r="A72" s="68"/>
      <c r="B72" s="1">
        <f t="shared" si="4"/>
        <v>5.0999999999999979</v>
      </c>
      <c r="C72" s="71" t="s">
        <v>205</v>
      </c>
      <c r="D72" s="1">
        <v>1.5</v>
      </c>
      <c r="E72" s="1" t="s">
        <v>105</v>
      </c>
      <c r="F72" s="70">
        <v>90</v>
      </c>
      <c r="G72" s="70"/>
      <c r="H72" s="70"/>
      <c r="I72" s="69">
        <f t="shared" si="1"/>
        <v>135</v>
      </c>
      <c r="K72" s="72">
        <f>SUM(I63:I72)</f>
        <v>42875</v>
      </c>
    </row>
    <row r="73" spans="1:11" s="5" customFormat="1">
      <c r="A73" s="68"/>
      <c r="B73" s="1"/>
      <c r="C73" s="71"/>
      <c r="D73" s="1"/>
      <c r="E73" s="1"/>
      <c r="F73" s="82" t="s">
        <v>208</v>
      </c>
      <c r="G73" s="82"/>
      <c r="H73" s="82"/>
      <c r="I73" s="81">
        <f>SUM(I63:I72)</f>
        <v>42875</v>
      </c>
      <c r="K73" s="72"/>
    </row>
    <row r="74" spans="1:11" s="11" customFormat="1">
      <c r="A74" s="85">
        <v>6</v>
      </c>
      <c r="B74" s="74"/>
      <c r="C74" s="57" t="s">
        <v>141</v>
      </c>
      <c r="D74" s="1"/>
      <c r="E74" s="1"/>
      <c r="F74" s="54"/>
      <c r="G74" s="54"/>
      <c r="H74" s="54"/>
      <c r="I74" s="69"/>
      <c r="K74" s="15"/>
    </row>
    <row r="75" spans="1:11" s="5" customFormat="1">
      <c r="A75" s="68"/>
      <c r="B75" s="1">
        <v>6.01</v>
      </c>
      <c r="C75" s="67" t="s">
        <v>210</v>
      </c>
      <c r="D75" s="1">
        <v>2</v>
      </c>
      <c r="E75" s="1" t="s">
        <v>214</v>
      </c>
      <c r="F75" s="70">
        <v>3100</v>
      </c>
      <c r="G75" s="70"/>
      <c r="H75" s="70"/>
      <c r="I75" s="69">
        <f t="shared" si="1"/>
        <v>6200</v>
      </c>
    </row>
    <row r="76" spans="1:11">
      <c r="A76" s="1"/>
      <c r="B76" s="1">
        <f>B75+0.01</f>
        <v>6.02</v>
      </c>
      <c r="C76" s="53" t="s">
        <v>212</v>
      </c>
      <c r="D76" s="1">
        <v>5</v>
      </c>
      <c r="E76" s="1" t="s">
        <v>197</v>
      </c>
      <c r="F76" s="54">
        <v>125</v>
      </c>
      <c r="G76" s="54"/>
      <c r="H76" s="54"/>
      <c r="I76" s="69">
        <f t="shared" si="1"/>
        <v>625</v>
      </c>
    </row>
    <row r="77" spans="1:11" s="5" customFormat="1" ht="23.25" customHeight="1">
      <c r="A77" s="68"/>
      <c r="B77" s="1">
        <f>B76+0.01</f>
        <v>6.0299999999999994</v>
      </c>
      <c r="C77" s="67" t="s">
        <v>209</v>
      </c>
      <c r="D77" s="1">
        <v>3</v>
      </c>
      <c r="E77" s="1" t="s">
        <v>197</v>
      </c>
      <c r="F77" s="70">
        <v>100</v>
      </c>
      <c r="G77" s="70"/>
      <c r="H77" s="70"/>
      <c r="I77" s="69">
        <f t="shared" si="1"/>
        <v>300</v>
      </c>
    </row>
    <row r="78" spans="1:11">
      <c r="A78" s="1"/>
      <c r="B78" s="1">
        <f>B77+0.01</f>
        <v>6.0399999999999991</v>
      </c>
      <c r="C78" s="53" t="s">
        <v>213</v>
      </c>
      <c r="D78" s="1">
        <v>5</v>
      </c>
      <c r="E78" s="1" t="s">
        <v>197</v>
      </c>
      <c r="F78" s="54">
        <v>30</v>
      </c>
      <c r="G78" s="54"/>
      <c r="H78" s="54"/>
      <c r="I78" s="69">
        <f t="shared" si="1"/>
        <v>150</v>
      </c>
    </row>
    <row r="79" spans="1:11">
      <c r="A79" s="1"/>
      <c r="B79" s="1">
        <f>B78+0.01</f>
        <v>6.0499999999999989</v>
      </c>
      <c r="C79" s="53" t="s">
        <v>211</v>
      </c>
      <c r="D79" s="1">
        <v>2</v>
      </c>
      <c r="E79" s="1" t="s">
        <v>197</v>
      </c>
      <c r="F79" s="54">
        <v>40</v>
      </c>
      <c r="G79" s="54"/>
      <c r="H79" s="54"/>
      <c r="I79" s="69">
        <f t="shared" si="1"/>
        <v>80</v>
      </c>
    </row>
    <row r="80" spans="1:11">
      <c r="A80" s="1"/>
      <c r="B80" s="1"/>
      <c r="C80" s="53"/>
      <c r="D80" s="1"/>
      <c r="E80" s="1"/>
      <c r="F80" s="80" t="s">
        <v>208</v>
      </c>
      <c r="G80" s="80"/>
      <c r="H80" s="80"/>
      <c r="I80" s="81">
        <f>SUM(I75:I79)</f>
        <v>7355</v>
      </c>
    </row>
    <row r="81" spans="1:11" s="11" customFormat="1" hidden="1">
      <c r="A81" s="85">
        <v>7</v>
      </c>
      <c r="B81" s="74"/>
      <c r="C81" s="57" t="s">
        <v>153</v>
      </c>
      <c r="D81" s="1"/>
      <c r="E81" s="1"/>
      <c r="F81" s="54"/>
      <c r="G81" s="54"/>
      <c r="H81" s="54"/>
      <c r="I81" s="69"/>
      <c r="K81" s="15"/>
    </row>
    <row r="82" spans="1:11" s="5" customFormat="1" ht="23.25" hidden="1" customHeight="1">
      <c r="A82" s="68"/>
      <c r="B82" s="1"/>
      <c r="C82" s="67"/>
      <c r="D82" s="1"/>
      <c r="E82" s="1"/>
      <c r="F82" s="70"/>
      <c r="G82" s="70"/>
      <c r="H82" s="70"/>
      <c r="I82" s="69"/>
    </row>
    <row r="83" spans="1:11" hidden="1">
      <c r="A83" s="1"/>
      <c r="B83" s="1"/>
      <c r="C83" s="53"/>
      <c r="D83" s="1"/>
      <c r="E83" s="1"/>
      <c r="F83" s="54"/>
      <c r="G83" s="54"/>
      <c r="H83" s="54"/>
      <c r="I83" s="69"/>
    </row>
    <row r="84" spans="1:11" hidden="1">
      <c r="A84" s="1"/>
      <c r="B84" s="1"/>
      <c r="C84" s="53"/>
      <c r="D84" s="1"/>
      <c r="E84" s="1"/>
      <c r="F84" s="54"/>
      <c r="G84" s="54"/>
      <c r="H84" s="54"/>
      <c r="I84" s="69"/>
      <c r="K84" s="15">
        <f>SUM(I82:I84)</f>
        <v>0</v>
      </c>
    </row>
    <row r="85" spans="1:11" hidden="1">
      <c r="A85" s="1"/>
      <c r="B85" s="1"/>
      <c r="C85" s="53"/>
      <c r="D85" s="1"/>
      <c r="E85" s="1"/>
      <c r="F85" s="80" t="s">
        <v>208</v>
      </c>
      <c r="G85" s="80"/>
      <c r="H85" s="80"/>
      <c r="I85" s="81">
        <f>SUM(I82:I84)</f>
        <v>0</v>
      </c>
      <c r="K85" s="15"/>
    </row>
    <row r="86" spans="1:11" s="11" customFormat="1">
      <c r="A86" s="85">
        <v>8</v>
      </c>
      <c r="B86" s="74"/>
      <c r="C86" s="57" t="s">
        <v>154</v>
      </c>
      <c r="D86" s="1"/>
      <c r="E86" s="1"/>
      <c r="F86" s="54"/>
      <c r="G86" s="54"/>
      <c r="H86" s="54"/>
      <c r="I86" s="69"/>
      <c r="K86" s="15"/>
    </row>
    <row r="87" spans="1:11" s="5" customFormat="1">
      <c r="A87" s="68"/>
      <c r="B87" s="1"/>
      <c r="C87" s="67" t="s">
        <v>223</v>
      </c>
      <c r="D87" s="1"/>
      <c r="E87" s="1"/>
      <c r="F87" s="70"/>
      <c r="G87" s="70"/>
      <c r="H87" s="70"/>
      <c r="I87" s="69"/>
    </row>
    <row r="88" spans="1:11" s="5" customFormat="1">
      <c r="A88" s="68"/>
      <c r="B88" s="1">
        <v>8.1</v>
      </c>
      <c r="C88" s="71" t="s">
        <v>178</v>
      </c>
      <c r="D88" s="1">
        <v>6</v>
      </c>
      <c r="E88" s="1" t="s">
        <v>136</v>
      </c>
      <c r="F88" s="70">
        <v>290</v>
      </c>
      <c r="G88" s="70">
        <v>290</v>
      </c>
      <c r="H88" s="70"/>
      <c r="I88" s="69">
        <f t="shared" si="1"/>
        <v>1740</v>
      </c>
    </row>
    <row r="89" spans="1:11" s="5" customFormat="1">
      <c r="A89" s="68"/>
      <c r="B89" s="1">
        <f>0.01+B88</f>
        <v>8.11</v>
      </c>
      <c r="C89" s="71" t="s">
        <v>227</v>
      </c>
      <c r="D89" s="1">
        <v>10</v>
      </c>
      <c r="E89" s="1" t="s">
        <v>174</v>
      </c>
      <c r="F89" s="70">
        <v>800</v>
      </c>
      <c r="G89" s="70">
        <v>500</v>
      </c>
      <c r="H89" s="70"/>
      <c r="I89" s="69">
        <f t="shared" si="1"/>
        <v>8000</v>
      </c>
    </row>
    <row r="90" spans="1:11" s="5" customFormat="1">
      <c r="A90" s="68"/>
      <c r="B90" s="1">
        <f t="shared" ref="B90:B95" si="5">0.01+B89</f>
        <v>8.1199999999999992</v>
      </c>
      <c r="C90" s="71" t="s">
        <v>179</v>
      </c>
      <c r="D90" s="1">
        <v>1</v>
      </c>
      <c r="E90" s="1" t="s">
        <v>5</v>
      </c>
      <c r="F90" s="70">
        <v>2500</v>
      </c>
      <c r="G90" s="70">
        <v>0</v>
      </c>
      <c r="H90" s="70"/>
      <c r="I90" s="69">
        <f t="shared" si="1"/>
        <v>2500</v>
      </c>
    </row>
    <row r="91" spans="1:11">
      <c r="A91" s="1"/>
      <c r="B91" s="1"/>
      <c r="C91" s="53" t="s">
        <v>222</v>
      </c>
      <c r="D91" s="1"/>
      <c r="E91" s="1"/>
      <c r="F91" s="54"/>
      <c r="G91" s="54"/>
      <c r="H91" s="54"/>
      <c r="I91" s="69"/>
      <c r="J91" s="4"/>
    </row>
    <row r="92" spans="1:11" s="5" customFormat="1">
      <c r="A92" s="68"/>
      <c r="B92" s="1">
        <f>0.01+B90</f>
        <v>8.129999999999999</v>
      </c>
      <c r="C92" s="71" t="s">
        <v>180</v>
      </c>
      <c r="D92" s="1">
        <v>4</v>
      </c>
      <c r="E92" s="1" t="s">
        <v>136</v>
      </c>
      <c r="F92" s="70">
        <v>600</v>
      </c>
      <c r="G92" s="70">
        <f>F92</f>
        <v>600</v>
      </c>
      <c r="H92" s="70"/>
      <c r="I92" s="69">
        <f t="shared" si="1"/>
        <v>2400</v>
      </c>
    </row>
    <row r="93" spans="1:11" s="5" customFormat="1">
      <c r="A93" s="68"/>
      <c r="B93" s="1">
        <f t="shared" si="5"/>
        <v>8.1399999999999988</v>
      </c>
      <c r="C93" s="71" t="s">
        <v>178</v>
      </c>
      <c r="D93" s="1">
        <v>11</v>
      </c>
      <c r="E93" s="1" t="s">
        <v>136</v>
      </c>
      <c r="F93" s="70">
        <v>290</v>
      </c>
      <c r="G93" s="70">
        <f>F93</f>
        <v>290</v>
      </c>
      <c r="H93" s="70"/>
      <c r="I93" s="69">
        <f t="shared" si="1"/>
        <v>3190</v>
      </c>
    </row>
    <row r="94" spans="1:11" s="5" customFormat="1">
      <c r="A94" s="68"/>
      <c r="B94" s="1">
        <f t="shared" si="5"/>
        <v>8.1499999999999986</v>
      </c>
      <c r="C94" s="71" t="s">
        <v>227</v>
      </c>
      <c r="D94" s="1">
        <v>7</v>
      </c>
      <c r="E94" s="1" t="s">
        <v>136</v>
      </c>
      <c r="F94" s="70">
        <v>800</v>
      </c>
      <c r="G94" s="70">
        <f>F94</f>
        <v>800</v>
      </c>
      <c r="H94" s="70"/>
      <c r="I94" s="69">
        <f t="shared" si="1"/>
        <v>5600</v>
      </c>
    </row>
    <row r="95" spans="1:11" s="5" customFormat="1">
      <c r="A95" s="68"/>
      <c r="B95" s="1">
        <f t="shared" si="5"/>
        <v>8.1599999999999984</v>
      </c>
      <c r="C95" s="71" t="s">
        <v>179</v>
      </c>
      <c r="D95" s="1">
        <v>1</v>
      </c>
      <c r="E95" s="1" t="s">
        <v>5</v>
      </c>
      <c r="F95" s="70">
        <v>1500</v>
      </c>
      <c r="G95" s="70">
        <f>F95</f>
        <v>1500</v>
      </c>
      <c r="H95" s="70"/>
      <c r="I95" s="69">
        <f t="shared" si="1"/>
        <v>1500</v>
      </c>
      <c r="J95" s="75"/>
      <c r="K95" s="72">
        <f>SUM(I88:I95)</f>
        <v>24930</v>
      </c>
    </row>
    <row r="96" spans="1:11" s="5" customFormat="1">
      <c r="A96" s="68"/>
      <c r="B96" s="1"/>
      <c r="C96" s="71"/>
      <c r="D96" s="1"/>
      <c r="E96" s="1"/>
      <c r="F96" s="82" t="s">
        <v>208</v>
      </c>
      <c r="G96" s="82"/>
      <c r="H96" s="82"/>
      <c r="I96" s="81">
        <f>SUM(I88:I95)</f>
        <v>24930</v>
      </c>
      <c r="J96" s="75"/>
      <c r="K96" s="72"/>
    </row>
    <row r="97" spans="1:13">
      <c r="A97" s="354"/>
      <c r="B97" s="354"/>
      <c r="C97" s="354"/>
      <c r="D97" s="354"/>
      <c r="E97" s="354"/>
      <c r="F97" s="354"/>
      <c r="G97" s="354"/>
      <c r="H97" s="354"/>
      <c r="I97" s="354"/>
    </row>
    <row r="98" spans="1:13" ht="33" customHeight="1">
      <c r="A98" s="355" t="s">
        <v>206</v>
      </c>
      <c r="B98" s="356"/>
      <c r="C98" s="357"/>
      <c r="D98" s="358">
        <f>SUM(K31:K96)</f>
        <v>156655</v>
      </c>
      <c r="E98" s="358"/>
      <c r="F98" s="358"/>
      <c r="G98" s="358"/>
      <c r="H98" s="358"/>
      <c r="I98" s="358"/>
      <c r="K98" s="72">
        <f>SUM(K31:K95)</f>
        <v>156655</v>
      </c>
      <c r="M98" s="4"/>
    </row>
    <row r="99" spans="1:13">
      <c r="A99" s="7"/>
      <c r="B99" s="7"/>
      <c r="C99" s="8"/>
      <c r="D99" s="7"/>
      <c r="E99" s="7"/>
    </row>
    <row r="100" spans="1:13">
      <c r="B100" s="10"/>
      <c r="C100" s="11"/>
      <c r="D100" s="12"/>
      <c r="E100" s="12"/>
      <c r="F100" s="13"/>
      <c r="G100" s="13"/>
      <c r="H100" s="13"/>
      <c r="I100" s="13"/>
    </row>
    <row r="101" spans="1:13">
      <c r="A101" s="10"/>
      <c r="B101" s="10"/>
      <c r="C101" s="11"/>
      <c r="D101" s="12"/>
      <c r="E101" s="12"/>
      <c r="F101" s="13"/>
      <c r="G101" s="13"/>
      <c r="H101" s="13"/>
      <c r="I101" s="13"/>
    </row>
    <row r="102" spans="1:13">
      <c r="A102" s="2"/>
      <c r="B102" s="2" t="s">
        <v>207</v>
      </c>
      <c r="D102" s="2"/>
      <c r="E102" s="2"/>
      <c r="F102" s="2"/>
      <c r="G102" s="2"/>
      <c r="H102" s="2"/>
      <c r="I102" s="2"/>
    </row>
    <row r="103" spans="1:13">
      <c r="A103" s="2"/>
      <c r="B103" s="2"/>
      <c r="D103" s="2"/>
      <c r="E103" s="2"/>
      <c r="F103" s="2"/>
      <c r="G103" s="2"/>
      <c r="H103" s="2"/>
      <c r="I103" s="2"/>
    </row>
    <row r="104" spans="1:13">
      <c r="A104" s="2"/>
      <c r="B104" s="2"/>
      <c r="D104" s="2"/>
      <c r="E104" s="2"/>
      <c r="F104" s="2"/>
      <c r="G104" s="2"/>
      <c r="H104" s="2"/>
      <c r="I104" s="2"/>
    </row>
    <row r="105" spans="1:13">
      <c r="A105" s="2"/>
      <c r="B105" s="2"/>
      <c r="D105" s="2"/>
      <c r="E105" s="2"/>
      <c r="F105" s="2"/>
      <c r="G105" s="2"/>
      <c r="H105" s="2"/>
      <c r="I105" s="2"/>
    </row>
    <row r="106" spans="1:13">
      <c r="A106" s="2"/>
      <c r="B106" s="11" t="s">
        <v>17</v>
      </c>
      <c r="D106" s="2"/>
      <c r="F106" s="2"/>
      <c r="G106" s="15" t="s">
        <v>92</v>
      </c>
      <c r="H106" s="2"/>
      <c r="I106" s="2"/>
    </row>
    <row r="107" spans="1:13">
      <c r="A107" s="2"/>
      <c r="B107" s="16" t="s">
        <v>94</v>
      </c>
      <c r="C107" s="16"/>
      <c r="D107" s="2"/>
      <c r="F107" s="2"/>
      <c r="G107" s="58" t="s">
        <v>91</v>
      </c>
      <c r="H107" s="2"/>
      <c r="I107" s="2"/>
    </row>
    <row r="108" spans="1:13">
      <c r="A108" s="2"/>
      <c r="B108" s="16"/>
      <c r="C108" s="16"/>
      <c r="D108" s="2"/>
      <c r="E108" s="2"/>
      <c r="F108" s="2"/>
      <c r="G108" s="2"/>
      <c r="H108" s="2"/>
      <c r="I108" s="2"/>
    </row>
    <row r="109" spans="1:13">
      <c r="A109" s="2"/>
      <c r="B109" s="2"/>
      <c r="D109" s="2"/>
      <c r="E109" s="2"/>
      <c r="F109" s="2"/>
      <c r="G109" s="2"/>
      <c r="H109" s="2"/>
      <c r="I109" s="2"/>
    </row>
    <row r="110" spans="1:13">
      <c r="A110" s="2"/>
      <c r="B110" s="2" t="s">
        <v>97</v>
      </c>
      <c r="D110" s="2"/>
      <c r="E110" s="2"/>
      <c r="F110" s="2"/>
      <c r="G110" s="2"/>
      <c r="H110" s="2"/>
      <c r="I110" s="2"/>
    </row>
    <row r="111" spans="1:13">
      <c r="A111" s="2"/>
      <c r="B111" s="2"/>
      <c r="D111" s="2"/>
      <c r="E111" s="2"/>
      <c r="F111" s="2"/>
      <c r="G111" s="2"/>
      <c r="H111" s="2"/>
      <c r="I111" s="2"/>
    </row>
    <row r="112" spans="1:13">
      <c r="A112" s="2"/>
      <c r="B112" s="2"/>
      <c r="D112" s="2"/>
      <c r="E112" s="2"/>
      <c r="F112" s="2"/>
      <c r="G112" s="2"/>
      <c r="H112" s="2"/>
      <c r="I112" s="2"/>
    </row>
    <row r="113" spans="1:9">
      <c r="A113" s="2"/>
      <c r="B113" s="2"/>
      <c r="D113" s="2"/>
      <c r="E113" s="2"/>
      <c r="F113" s="2"/>
      <c r="G113" s="2"/>
      <c r="H113" s="2"/>
      <c r="I113" s="2"/>
    </row>
    <row r="114" spans="1:9" ht="16.5" customHeight="1">
      <c r="A114" s="2"/>
      <c r="B114" s="11" t="s">
        <v>93</v>
      </c>
      <c r="D114" s="2"/>
      <c r="E114" s="2"/>
      <c r="F114" s="2"/>
      <c r="G114" s="2"/>
      <c r="H114" s="2"/>
      <c r="I114" s="2"/>
    </row>
    <row r="115" spans="1:9">
      <c r="A115" s="2"/>
      <c r="B115" s="16" t="s">
        <v>14</v>
      </c>
      <c r="D115" s="2"/>
      <c r="E115" s="2"/>
      <c r="F115" s="2"/>
      <c r="G115" s="2"/>
      <c r="H115" s="2"/>
      <c r="I115" s="2"/>
    </row>
    <row r="116" spans="1:9">
      <c r="A116" s="2"/>
      <c r="C116" s="3"/>
      <c r="D116" s="2"/>
      <c r="F116" s="3"/>
      <c r="G116" s="3"/>
      <c r="H116" s="3"/>
      <c r="I116" s="3"/>
    </row>
    <row r="117" spans="1:9">
      <c r="A117" s="2"/>
      <c r="B117" s="2"/>
      <c r="D117" s="2"/>
      <c r="E117" s="2"/>
      <c r="F117" s="2"/>
      <c r="G117" s="2"/>
      <c r="H117" s="2"/>
      <c r="I117" s="2"/>
    </row>
    <row r="118" spans="1:9">
      <c r="A118" s="2"/>
      <c r="B118" s="2" t="s">
        <v>10</v>
      </c>
      <c r="D118" s="2" t="s">
        <v>11</v>
      </c>
      <c r="F118" s="2"/>
      <c r="G118" s="2" t="s">
        <v>11</v>
      </c>
      <c r="H118" s="2"/>
      <c r="I118" s="2"/>
    </row>
    <row r="119" spans="1:9">
      <c r="A119" s="2"/>
      <c r="B119" s="2"/>
      <c r="D119" s="2"/>
      <c r="F119" s="2"/>
      <c r="G119" s="2"/>
      <c r="H119" s="2"/>
      <c r="I119" s="2"/>
    </row>
    <row r="120" spans="1:9">
      <c r="A120" s="2"/>
      <c r="B120" s="2"/>
      <c r="D120" s="2"/>
      <c r="F120" s="2"/>
      <c r="G120" s="2"/>
      <c r="H120" s="2"/>
      <c r="I120" s="2"/>
    </row>
    <row r="121" spans="1:9">
      <c r="A121" s="2"/>
      <c r="B121" s="2"/>
      <c r="D121" s="2"/>
      <c r="F121" s="2"/>
      <c r="G121" s="2"/>
      <c r="H121" s="2"/>
      <c r="I121" s="2"/>
    </row>
    <row r="122" spans="1:9">
      <c r="A122" s="2"/>
      <c r="B122" s="11" t="s">
        <v>12</v>
      </c>
      <c r="C122" s="10"/>
      <c r="D122" s="10" t="s">
        <v>13</v>
      </c>
      <c r="F122" s="2"/>
      <c r="G122" s="10" t="s">
        <v>13</v>
      </c>
      <c r="H122" s="2"/>
      <c r="I122" s="2"/>
    </row>
    <row r="123" spans="1:9">
      <c r="A123" s="2"/>
      <c r="B123" s="16" t="s">
        <v>15</v>
      </c>
      <c r="C123" s="16"/>
      <c r="D123" s="16" t="s">
        <v>16</v>
      </c>
      <c r="F123" s="2"/>
      <c r="G123" s="16" t="s">
        <v>16</v>
      </c>
      <c r="H123" s="2"/>
      <c r="I123" s="2"/>
    </row>
    <row r="124" spans="1:9">
      <c r="A124" s="2"/>
      <c r="C124" s="3"/>
      <c r="D124" s="2"/>
      <c r="F124" s="3"/>
      <c r="G124" s="3"/>
      <c r="H124" s="3"/>
      <c r="I124" s="3"/>
    </row>
    <row r="134" spans="28:28">
      <c r="AB134" s="9"/>
    </row>
  </sheetData>
  <mergeCells count="11">
    <mergeCell ref="H7:H8"/>
    <mergeCell ref="I7:I8"/>
    <mergeCell ref="A97:I97"/>
    <mergeCell ref="A98:C98"/>
    <mergeCell ref="D98:I98"/>
    <mergeCell ref="A7:B8"/>
    <mergeCell ref="C7:C8"/>
    <mergeCell ref="D7:D8"/>
    <mergeCell ref="E7:E8"/>
    <mergeCell ref="F7:F8"/>
    <mergeCell ref="G7:G8"/>
  </mergeCells>
  <printOptions horizontalCentered="1" verticalCentered="1"/>
  <pageMargins left="0.5" right="0.5" top="0.5" bottom="0.8" header="0" footer="0.5"/>
  <pageSetup paperSize="172" scale="74" orientation="landscape" r:id="rId1"/>
  <headerFooter>
    <oddFooter>&amp;CPage &amp;P of &amp;[3</oddFooter>
  </headerFooter>
  <rowBreaks count="2" manualBreakCount="2">
    <brk id="56" max="8" man="1"/>
    <brk id="93" max="8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60"/>
  <sheetViews>
    <sheetView showGridLines="0" view="pageBreakPreview" topLeftCell="D1" zoomScale="55" zoomScaleNormal="85" zoomScaleSheetLayoutView="55" zoomScalePageLayoutView="60" workbookViewId="0">
      <pane ySplit="1830" topLeftCell="A7" activePane="bottomLeft"/>
      <selection activeCell="M36" sqref="M36"/>
      <selection pane="bottomLeft" activeCell="M36" sqref="M36"/>
    </sheetView>
  </sheetViews>
  <sheetFormatPr defaultColWidth="9.140625" defaultRowHeight="18.75"/>
  <cols>
    <col min="1" max="1" width="12.42578125" style="3" customWidth="1"/>
    <col min="2" max="2" width="13" style="3" customWidth="1"/>
    <col min="3" max="3" width="90.7109375" style="2" customWidth="1"/>
    <col min="4" max="4" width="13" style="3" customWidth="1"/>
    <col min="5" max="5" width="12" style="3" customWidth="1"/>
    <col min="6" max="6" width="22" style="4" customWidth="1"/>
    <col min="7" max="7" width="20.85546875" style="4" customWidth="1"/>
    <col min="8" max="9" width="18.7109375" style="4" customWidth="1"/>
    <col min="10" max="10" width="20.5703125" style="4" customWidth="1"/>
    <col min="11" max="12" width="18.7109375" style="4" customWidth="1"/>
    <col min="13" max="13" width="28.5703125" style="4" customWidth="1"/>
    <col min="14" max="14" width="16" style="2" bestFit="1" customWidth="1"/>
    <col min="15" max="15" width="21.42578125" style="2" customWidth="1"/>
    <col min="16" max="16" width="14.42578125" style="2" bestFit="1" customWidth="1"/>
    <col min="17" max="17" width="16.42578125" style="2" bestFit="1" customWidth="1"/>
    <col min="18" max="18" width="14.28515625" style="2" bestFit="1" customWidth="1"/>
    <col min="19" max="31" width="9.140625" style="2"/>
    <col min="32" max="32" width="18.42578125" style="2" bestFit="1" customWidth="1"/>
    <col min="33" max="16384" width="9.140625" style="2"/>
  </cols>
  <sheetData>
    <row r="1" spans="1:15">
      <c r="A1" s="46" t="s">
        <v>6</v>
      </c>
      <c r="B1" s="10" t="s">
        <v>271</v>
      </c>
      <c r="C1" s="11"/>
      <c r="D1" s="12"/>
      <c r="E1" s="12"/>
      <c r="F1" s="13"/>
      <c r="G1" s="13"/>
      <c r="H1" s="13"/>
      <c r="I1" s="13"/>
      <c r="J1" s="13"/>
      <c r="K1" s="13"/>
      <c r="L1" s="13"/>
      <c r="M1" s="13"/>
    </row>
    <row r="2" spans="1:15">
      <c r="A2" s="46" t="s">
        <v>8</v>
      </c>
      <c r="B2" s="10" t="s">
        <v>9</v>
      </c>
      <c r="C2" s="11"/>
      <c r="D2" s="12"/>
      <c r="E2" s="12"/>
      <c r="F2" s="13"/>
      <c r="G2" s="13"/>
      <c r="H2" s="13" t="s">
        <v>190</v>
      </c>
      <c r="I2" s="13"/>
      <c r="J2" s="13"/>
      <c r="K2" s="13"/>
      <c r="L2" s="13"/>
      <c r="M2" s="13"/>
    </row>
    <row r="3" spans="1:15" hidden="1">
      <c r="A3" s="46" t="s">
        <v>95</v>
      </c>
      <c r="B3" s="10" t="s">
        <v>96</v>
      </c>
      <c r="C3" s="11"/>
      <c r="D3" s="12"/>
      <c r="E3" s="12"/>
      <c r="F3" s="13"/>
      <c r="G3" s="13"/>
      <c r="H3" s="13"/>
      <c r="I3" s="13"/>
      <c r="J3" s="13"/>
      <c r="K3" s="13"/>
      <c r="L3" s="13"/>
      <c r="M3" s="13"/>
    </row>
    <row r="4" spans="1:15">
      <c r="A4" s="46" t="s">
        <v>137</v>
      </c>
      <c r="B4" s="10" t="s">
        <v>218</v>
      </c>
      <c r="C4" s="11"/>
      <c r="D4" s="12"/>
      <c r="E4" s="12"/>
      <c r="F4" s="13"/>
      <c r="G4" s="13"/>
      <c r="H4" s="13"/>
      <c r="I4" s="13"/>
      <c r="J4" s="13"/>
      <c r="K4" s="13"/>
      <c r="L4" s="13"/>
      <c r="M4" s="13"/>
    </row>
    <row r="5" spans="1:15">
      <c r="A5" s="10"/>
      <c r="B5" s="10"/>
      <c r="C5" s="14"/>
      <c r="D5" s="12"/>
      <c r="E5" s="12"/>
      <c r="F5" s="13"/>
      <c r="G5" s="13"/>
      <c r="H5" s="13"/>
      <c r="I5" s="13"/>
      <c r="J5" s="13"/>
      <c r="K5" s="13"/>
      <c r="L5" s="13"/>
      <c r="M5" s="13"/>
    </row>
    <row r="6" spans="1:15">
      <c r="A6" s="10"/>
      <c r="B6" s="10"/>
      <c r="C6" s="14"/>
      <c r="D6" s="12"/>
      <c r="E6" s="12"/>
      <c r="F6" s="13"/>
      <c r="G6" s="13"/>
      <c r="H6" s="13"/>
      <c r="I6" s="13"/>
      <c r="J6" s="13"/>
      <c r="K6" s="13"/>
      <c r="L6" s="13"/>
      <c r="M6" s="13"/>
    </row>
    <row r="8" spans="1:15" s="5" customFormat="1" ht="18.75" customHeight="1">
      <c r="A8" s="359" t="s">
        <v>138</v>
      </c>
      <c r="B8" s="359"/>
      <c r="C8" s="360" t="s">
        <v>19</v>
      </c>
      <c r="D8" s="360" t="s">
        <v>2</v>
      </c>
      <c r="E8" s="360" t="s">
        <v>0</v>
      </c>
      <c r="F8" s="367" t="s">
        <v>287</v>
      </c>
      <c r="G8" s="368"/>
      <c r="H8" s="369" t="s">
        <v>4</v>
      </c>
      <c r="I8" s="369" t="s">
        <v>231</v>
      </c>
      <c r="J8" s="371" t="s">
        <v>139</v>
      </c>
      <c r="K8" s="371" t="s">
        <v>140</v>
      </c>
      <c r="L8" s="371" t="s">
        <v>4</v>
      </c>
      <c r="M8" s="353" t="s">
        <v>232</v>
      </c>
    </row>
    <row r="9" spans="1:15" s="5" customFormat="1" ht="23.25" customHeight="1">
      <c r="A9" s="359"/>
      <c r="B9" s="359"/>
      <c r="C9" s="360"/>
      <c r="D9" s="360"/>
      <c r="E9" s="360"/>
      <c r="F9" s="83" t="s">
        <v>139</v>
      </c>
      <c r="G9" s="83" t="s">
        <v>140</v>
      </c>
      <c r="H9" s="370"/>
      <c r="I9" s="370"/>
      <c r="J9" s="371"/>
      <c r="K9" s="371"/>
      <c r="L9" s="371"/>
      <c r="M9" s="353"/>
    </row>
    <row r="10" spans="1:15" s="5" customFormat="1" ht="23.25" hidden="1" customHeight="1">
      <c r="A10" s="84">
        <v>1</v>
      </c>
      <c r="B10" s="68"/>
      <c r="C10" s="66" t="s">
        <v>142</v>
      </c>
      <c r="D10" s="85"/>
      <c r="E10" s="85"/>
      <c r="F10" s="83"/>
      <c r="G10" s="83"/>
      <c r="H10" s="83"/>
      <c r="I10" s="83"/>
      <c r="J10" s="83"/>
      <c r="K10" s="83"/>
      <c r="L10" s="83"/>
      <c r="M10" s="83"/>
      <c r="O10" s="72"/>
    </row>
    <row r="11" spans="1:15" hidden="1">
      <c r="A11" s="1"/>
      <c r="B11" s="68">
        <f>1+0.01</f>
        <v>1.01</v>
      </c>
      <c r="C11" s="53" t="s">
        <v>169</v>
      </c>
      <c r="D11" s="1">
        <v>1</v>
      </c>
      <c r="E11" s="1" t="s">
        <v>18</v>
      </c>
      <c r="F11" s="54">
        <v>15000</v>
      </c>
      <c r="G11" s="54" t="s">
        <v>177</v>
      </c>
      <c r="H11" s="54"/>
      <c r="I11" s="54"/>
      <c r="J11" s="54"/>
      <c r="K11" s="54"/>
      <c r="L11" s="54"/>
      <c r="M11" s="69"/>
    </row>
    <row r="12" spans="1:15" hidden="1">
      <c r="A12" s="1"/>
      <c r="B12" s="68">
        <f>B11+0.01</f>
        <v>1.02</v>
      </c>
      <c r="C12" s="53" t="s">
        <v>170</v>
      </c>
      <c r="D12" s="1">
        <v>1</v>
      </c>
      <c r="E12" s="1" t="s">
        <v>18</v>
      </c>
      <c r="F12" s="54">
        <v>4500</v>
      </c>
      <c r="G12" s="54"/>
      <c r="H12" s="54"/>
      <c r="I12" s="54"/>
      <c r="J12" s="54"/>
      <c r="K12" s="54"/>
      <c r="L12" s="54"/>
      <c r="M12" s="69"/>
    </row>
    <row r="13" spans="1:15" s="5" customFormat="1" ht="23.25" hidden="1" customHeight="1">
      <c r="A13" s="68"/>
      <c r="B13" s="68">
        <f t="shared" ref="B13:B24" si="0">B12+0.01</f>
        <v>1.03</v>
      </c>
      <c r="C13" s="67" t="s">
        <v>143</v>
      </c>
      <c r="D13" s="1">
        <v>2</v>
      </c>
      <c r="E13" s="1" t="s">
        <v>18</v>
      </c>
      <c r="F13" s="70">
        <v>6500</v>
      </c>
      <c r="G13" s="70"/>
      <c r="H13" s="70"/>
      <c r="I13" s="70"/>
      <c r="J13" s="70"/>
      <c r="K13" s="70"/>
      <c r="L13" s="70"/>
      <c r="M13" s="73"/>
    </row>
    <row r="14" spans="1:15" hidden="1">
      <c r="A14" s="1"/>
      <c r="B14" s="68">
        <f t="shared" si="0"/>
        <v>1.04</v>
      </c>
      <c r="C14" s="53" t="s">
        <v>145</v>
      </c>
      <c r="D14" s="1">
        <v>4</v>
      </c>
      <c r="E14" s="1" t="s">
        <v>18</v>
      </c>
      <c r="F14" s="54">
        <v>4000</v>
      </c>
      <c r="G14" s="54"/>
      <c r="H14" s="54"/>
      <c r="I14" s="54"/>
      <c r="J14" s="54"/>
      <c r="K14" s="54"/>
      <c r="L14" s="54"/>
      <c r="M14" s="69"/>
    </row>
    <row r="15" spans="1:15" hidden="1">
      <c r="A15" s="1"/>
      <c r="B15" s="68">
        <f t="shared" si="0"/>
        <v>1.05</v>
      </c>
      <c r="C15" s="53" t="s">
        <v>160</v>
      </c>
      <c r="D15" s="1">
        <v>1</v>
      </c>
      <c r="E15" s="1" t="s">
        <v>1</v>
      </c>
      <c r="F15" s="54"/>
      <c r="G15" s="54"/>
      <c r="H15" s="54"/>
      <c r="I15" s="54"/>
      <c r="J15" s="54"/>
      <c r="K15" s="54"/>
      <c r="L15" s="54"/>
      <c r="M15" s="69"/>
    </row>
    <row r="16" spans="1:15" s="5" customFormat="1" ht="23.25" hidden="1" customHeight="1">
      <c r="A16" s="68"/>
      <c r="B16" s="68">
        <f t="shared" si="0"/>
        <v>1.06</v>
      </c>
      <c r="C16" s="67" t="s">
        <v>144</v>
      </c>
      <c r="D16" s="1">
        <v>1</v>
      </c>
      <c r="E16" s="1" t="s">
        <v>1</v>
      </c>
      <c r="F16" s="70">
        <v>35000</v>
      </c>
      <c r="G16" s="70"/>
      <c r="H16" s="70"/>
      <c r="I16" s="70"/>
      <c r="J16" s="70"/>
      <c r="K16" s="70"/>
      <c r="L16" s="70"/>
      <c r="M16" s="73"/>
    </row>
    <row r="17" spans="1:15" hidden="1">
      <c r="A17" s="1"/>
      <c r="B17" s="68">
        <f t="shared" si="0"/>
        <v>1.07</v>
      </c>
      <c r="C17" s="53" t="s">
        <v>159</v>
      </c>
      <c r="D17" s="1">
        <v>8</v>
      </c>
      <c r="E17" s="1" t="s">
        <v>18</v>
      </c>
      <c r="F17" s="54">
        <v>4000</v>
      </c>
      <c r="G17" s="54"/>
      <c r="H17" s="54"/>
      <c r="I17" s="54"/>
      <c r="J17" s="54"/>
      <c r="K17" s="54"/>
      <c r="L17" s="54"/>
      <c r="M17" s="69"/>
    </row>
    <row r="18" spans="1:15" hidden="1">
      <c r="A18" s="1"/>
      <c r="B18" s="68">
        <f t="shared" si="0"/>
        <v>1.08</v>
      </c>
      <c r="C18" s="53" t="s">
        <v>158</v>
      </c>
      <c r="D18" s="1">
        <v>2</v>
      </c>
      <c r="E18" s="1" t="s">
        <v>18</v>
      </c>
      <c r="F18" s="54"/>
      <c r="G18" s="54"/>
      <c r="H18" s="54"/>
      <c r="I18" s="54"/>
      <c r="J18" s="54"/>
      <c r="K18" s="54"/>
      <c r="L18" s="54"/>
      <c r="M18" s="69"/>
    </row>
    <row r="19" spans="1:15" hidden="1">
      <c r="A19" s="1"/>
      <c r="B19" s="68">
        <f t="shared" si="0"/>
        <v>1.0900000000000001</v>
      </c>
      <c r="C19" s="53" t="s">
        <v>157</v>
      </c>
      <c r="D19" s="1">
        <v>1</v>
      </c>
      <c r="E19" s="1" t="s">
        <v>18</v>
      </c>
      <c r="F19" s="54"/>
      <c r="G19" s="54"/>
      <c r="H19" s="54"/>
      <c r="I19" s="54"/>
      <c r="J19" s="54"/>
      <c r="K19" s="54"/>
      <c r="L19" s="54"/>
      <c r="M19" s="69"/>
    </row>
    <row r="20" spans="1:15" ht="37.5" hidden="1">
      <c r="A20" s="1"/>
      <c r="B20" s="68">
        <f t="shared" si="0"/>
        <v>1.1000000000000001</v>
      </c>
      <c r="C20" s="53" t="s">
        <v>162</v>
      </c>
      <c r="D20" s="1">
        <v>3</v>
      </c>
      <c r="E20" s="1" t="s">
        <v>18</v>
      </c>
      <c r="F20" s="54"/>
      <c r="G20" s="54"/>
      <c r="H20" s="54"/>
      <c r="I20" s="54"/>
      <c r="J20" s="54"/>
      <c r="K20" s="54"/>
      <c r="L20" s="54"/>
      <c r="M20" s="69"/>
    </row>
    <row r="21" spans="1:15" hidden="1">
      <c r="A21" s="1"/>
      <c r="B21" s="68">
        <f t="shared" si="0"/>
        <v>1.1100000000000001</v>
      </c>
      <c r="C21" s="53" t="s">
        <v>161</v>
      </c>
      <c r="D21" s="1">
        <v>1</v>
      </c>
      <c r="E21" s="1" t="s">
        <v>18</v>
      </c>
      <c r="F21" s="54"/>
      <c r="G21" s="54"/>
      <c r="H21" s="54"/>
      <c r="I21" s="54"/>
      <c r="J21" s="54"/>
      <c r="K21" s="54"/>
      <c r="L21" s="54"/>
      <c r="M21" s="69"/>
    </row>
    <row r="22" spans="1:15" hidden="1">
      <c r="A22" s="1"/>
      <c r="B22" s="68">
        <f t="shared" si="0"/>
        <v>1.1200000000000001</v>
      </c>
      <c r="C22" s="53" t="s">
        <v>163</v>
      </c>
      <c r="D22" s="1">
        <v>2</v>
      </c>
      <c r="E22" s="1" t="s">
        <v>18</v>
      </c>
      <c r="F22" s="54"/>
      <c r="G22" s="54"/>
      <c r="H22" s="54"/>
      <c r="I22" s="54"/>
      <c r="J22" s="54"/>
      <c r="K22" s="54"/>
      <c r="L22" s="54"/>
      <c r="M22" s="69"/>
    </row>
    <row r="23" spans="1:15" hidden="1">
      <c r="A23" s="1"/>
      <c r="B23" s="68">
        <f t="shared" si="0"/>
        <v>1.1300000000000001</v>
      </c>
      <c r="C23" s="53" t="s">
        <v>164</v>
      </c>
      <c r="D23" s="1">
        <v>1</v>
      </c>
      <c r="E23" s="1" t="s">
        <v>18</v>
      </c>
      <c r="F23" s="54"/>
      <c r="G23" s="54"/>
      <c r="H23" s="54"/>
      <c r="I23" s="54"/>
      <c r="J23" s="54"/>
      <c r="K23" s="54"/>
      <c r="L23" s="54"/>
      <c r="M23" s="69"/>
    </row>
    <row r="24" spans="1:15" hidden="1">
      <c r="A24" s="1"/>
      <c r="B24" s="68">
        <f t="shared" si="0"/>
        <v>1.1400000000000001</v>
      </c>
      <c r="C24" s="53" t="s">
        <v>165</v>
      </c>
      <c r="D24" s="1">
        <v>1</v>
      </c>
      <c r="E24" s="1" t="s">
        <v>18</v>
      </c>
      <c r="F24" s="54"/>
      <c r="G24" s="54"/>
      <c r="H24" s="54"/>
      <c r="I24" s="54"/>
      <c r="J24" s="54"/>
      <c r="K24" s="54"/>
      <c r="L24" s="54"/>
      <c r="M24" s="69"/>
    </row>
    <row r="25" spans="1:15" s="11" customFormat="1" hidden="1">
      <c r="A25" s="85">
        <v>2</v>
      </c>
      <c r="B25" s="74"/>
      <c r="C25" s="57" t="s">
        <v>148</v>
      </c>
      <c r="D25" s="1"/>
      <c r="E25" s="1"/>
      <c r="F25" s="54"/>
      <c r="G25" s="54"/>
      <c r="H25" s="54"/>
      <c r="I25" s="54"/>
      <c r="J25" s="54"/>
      <c r="K25" s="54"/>
      <c r="L25" s="54"/>
      <c r="M25" s="69"/>
      <c r="O25" s="15"/>
    </row>
    <row r="26" spans="1:15" s="5" customFormat="1" hidden="1">
      <c r="A26" s="68"/>
      <c r="B26" s="1">
        <v>2.0099999999999998</v>
      </c>
      <c r="C26" s="67" t="s">
        <v>149</v>
      </c>
      <c r="D26" s="1">
        <v>1</v>
      </c>
      <c r="E26" s="1" t="s">
        <v>1</v>
      </c>
      <c r="F26" s="70">
        <v>30000</v>
      </c>
      <c r="G26" s="70"/>
      <c r="H26" s="70"/>
      <c r="I26" s="70"/>
      <c r="J26" s="70"/>
      <c r="K26" s="70"/>
      <c r="L26" s="70"/>
      <c r="M26" s="73"/>
    </row>
    <row r="27" spans="1:15" hidden="1">
      <c r="A27" s="1"/>
      <c r="B27" s="1">
        <v>2.02</v>
      </c>
      <c r="C27" s="53" t="s">
        <v>155</v>
      </c>
      <c r="D27" s="1">
        <v>5</v>
      </c>
      <c r="E27" s="1" t="s">
        <v>1</v>
      </c>
      <c r="F27" s="54">
        <v>60000</v>
      </c>
      <c r="G27" s="54"/>
      <c r="H27" s="54"/>
      <c r="I27" s="54"/>
      <c r="J27" s="54"/>
      <c r="K27" s="54"/>
      <c r="L27" s="54"/>
      <c r="M27" s="69"/>
    </row>
    <row r="28" spans="1:15" ht="18.75" customHeight="1">
      <c r="A28" s="85">
        <v>1</v>
      </c>
      <c r="B28" s="1"/>
      <c r="C28" s="55" t="s">
        <v>146</v>
      </c>
      <c r="D28" s="1"/>
      <c r="E28" s="1"/>
      <c r="F28" s="54"/>
      <c r="G28" s="54"/>
      <c r="H28" s="54"/>
      <c r="I28" s="54"/>
      <c r="J28" s="54"/>
      <c r="K28" s="54"/>
      <c r="L28" s="54"/>
      <c r="M28" s="69"/>
      <c r="O28" s="15"/>
    </row>
    <row r="29" spans="1:15" s="11" customFormat="1" ht="18.75" customHeight="1">
      <c r="A29" s="74"/>
      <c r="B29" s="1">
        <v>1.01</v>
      </c>
      <c r="C29" s="56" t="s">
        <v>156</v>
      </c>
      <c r="D29" s="1">
        <v>1</v>
      </c>
      <c r="E29" s="1" t="s">
        <v>197</v>
      </c>
      <c r="F29" s="54">
        <v>34000</v>
      </c>
      <c r="G29" s="54">
        <v>1000</v>
      </c>
      <c r="H29" s="54">
        <f t="shared" ref="H29:H35" si="1">0.22*(F29+G29)</f>
        <v>7700</v>
      </c>
      <c r="I29" s="54">
        <f t="shared" ref="I29:I35" si="2">SUM(F29:H29)</f>
        <v>42700</v>
      </c>
      <c r="J29" s="54">
        <f t="shared" ref="J29:J35" si="3">D29*F29</f>
        <v>34000</v>
      </c>
      <c r="K29" s="54">
        <f t="shared" ref="K29:K35" si="4">D29*G29</f>
        <v>1000</v>
      </c>
      <c r="L29" s="54">
        <f t="shared" ref="L29:L35" si="5">D29*H29</f>
        <v>7700</v>
      </c>
      <c r="M29" s="69">
        <f t="shared" ref="M29:M35" si="6">SUM(J29:L29)</f>
        <v>42700</v>
      </c>
      <c r="N29" s="91"/>
    </row>
    <row r="30" spans="1:15" s="11" customFormat="1" ht="18.75" customHeight="1">
      <c r="A30" s="74"/>
      <c r="B30" s="1">
        <v>1.01</v>
      </c>
      <c r="C30" s="56" t="s">
        <v>289</v>
      </c>
      <c r="D30" s="1">
        <v>3</v>
      </c>
      <c r="E30" s="1" t="s">
        <v>197</v>
      </c>
      <c r="F30" s="54">
        <v>31000</v>
      </c>
      <c r="G30" s="54">
        <v>1000</v>
      </c>
      <c r="H30" s="54">
        <f t="shared" si="1"/>
        <v>7040</v>
      </c>
      <c r="I30" s="54">
        <f t="shared" si="2"/>
        <v>39040</v>
      </c>
      <c r="J30" s="54">
        <f t="shared" si="3"/>
        <v>93000</v>
      </c>
      <c r="K30" s="54">
        <f t="shared" si="4"/>
        <v>3000</v>
      </c>
      <c r="L30" s="54">
        <f t="shared" si="5"/>
        <v>21120</v>
      </c>
      <c r="M30" s="69">
        <f>SUM(J30:L30)</f>
        <v>117120</v>
      </c>
      <c r="N30" s="91"/>
    </row>
    <row r="31" spans="1:15" s="11" customFormat="1" ht="18.75" customHeight="1">
      <c r="A31" s="74"/>
      <c r="B31" s="1">
        <f>B29+0.01</f>
        <v>1.02</v>
      </c>
      <c r="C31" s="56" t="s">
        <v>215</v>
      </c>
      <c r="D31" s="1">
        <v>1</v>
      </c>
      <c r="E31" s="1" t="s">
        <v>197</v>
      </c>
      <c r="F31" s="54">
        <v>26000</v>
      </c>
      <c r="G31" s="54">
        <v>1000</v>
      </c>
      <c r="H31" s="54">
        <f t="shared" si="1"/>
        <v>5940</v>
      </c>
      <c r="I31" s="54">
        <f t="shared" si="2"/>
        <v>32940</v>
      </c>
      <c r="J31" s="54">
        <f t="shared" si="3"/>
        <v>26000</v>
      </c>
      <c r="K31" s="54">
        <f t="shared" si="4"/>
        <v>1000</v>
      </c>
      <c r="L31" s="54">
        <f t="shared" si="5"/>
        <v>5940</v>
      </c>
      <c r="M31" s="69">
        <f t="shared" si="6"/>
        <v>32940</v>
      </c>
      <c r="N31" s="91"/>
    </row>
    <row r="32" spans="1:15" s="11" customFormat="1" ht="18.75" customHeight="1">
      <c r="A32" s="74"/>
      <c r="B32" s="1">
        <f>B31+0.01</f>
        <v>1.03</v>
      </c>
      <c r="C32" s="56" t="s">
        <v>216</v>
      </c>
      <c r="D32" s="1">
        <v>1</v>
      </c>
      <c r="E32" s="1" t="s">
        <v>197</v>
      </c>
      <c r="F32" s="54">
        <v>23000</v>
      </c>
      <c r="G32" s="54">
        <v>1000</v>
      </c>
      <c r="H32" s="54">
        <f t="shared" si="1"/>
        <v>5280</v>
      </c>
      <c r="I32" s="54">
        <f t="shared" si="2"/>
        <v>29280</v>
      </c>
      <c r="J32" s="54">
        <f t="shared" si="3"/>
        <v>23000</v>
      </c>
      <c r="K32" s="54">
        <f t="shared" si="4"/>
        <v>1000</v>
      </c>
      <c r="L32" s="54">
        <f t="shared" si="5"/>
        <v>5280</v>
      </c>
      <c r="M32" s="69">
        <f t="shared" si="6"/>
        <v>29280</v>
      </c>
      <c r="N32" s="91"/>
    </row>
    <row r="33" spans="1:15" s="6" customFormat="1" ht="18.75" customHeight="1">
      <c r="A33" s="1"/>
      <c r="B33" s="1">
        <f>B32+0.01</f>
        <v>1.04</v>
      </c>
      <c r="C33" s="53" t="s">
        <v>235</v>
      </c>
      <c r="D33" s="1">
        <v>1</v>
      </c>
      <c r="E33" s="1" t="s">
        <v>197</v>
      </c>
      <c r="F33" s="54">
        <v>1600</v>
      </c>
      <c r="G33" s="54">
        <v>480</v>
      </c>
      <c r="H33" s="54">
        <f t="shared" si="1"/>
        <v>457.6</v>
      </c>
      <c r="I33" s="54">
        <f t="shared" si="2"/>
        <v>2537.6</v>
      </c>
      <c r="J33" s="54">
        <f t="shared" si="3"/>
        <v>1600</v>
      </c>
      <c r="K33" s="54">
        <f t="shared" si="4"/>
        <v>480</v>
      </c>
      <c r="L33" s="54">
        <f t="shared" si="5"/>
        <v>457.6</v>
      </c>
      <c r="M33" s="69">
        <f t="shared" si="6"/>
        <v>2537.6</v>
      </c>
      <c r="N33" s="91"/>
    </row>
    <row r="34" spans="1:15" s="6" customFormat="1" ht="18.75" customHeight="1">
      <c r="A34" s="1"/>
      <c r="B34" s="1">
        <f>B33+0.01</f>
        <v>1.05</v>
      </c>
      <c r="C34" s="53" t="s">
        <v>237</v>
      </c>
      <c r="D34" s="1">
        <v>1</v>
      </c>
      <c r="E34" s="1" t="s">
        <v>197</v>
      </c>
      <c r="F34" s="54">
        <v>400</v>
      </c>
      <c r="G34" s="54">
        <v>120</v>
      </c>
      <c r="H34" s="54">
        <f t="shared" si="1"/>
        <v>114.4</v>
      </c>
      <c r="I34" s="54">
        <f t="shared" si="2"/>
        <v>634.4</v>
      </c>
      <c r="J34" s="54">
        <f t="shared" si="3"/>
        <v>400</v>
      </c>
      <c r="K34" s="54">
        <f t="shared" si="4"/>
        <v>120</v>
      </c>
      <c r="L34" s="54">
        <f t="shared" si="5"/>
        <v>114.4</v>
      </c>
      <c r="M34" s="69">
        <f t="shared" si="6"/>
        <v>634.4</v>
      </c>
      <c r="N34" s="91"/>
    </row>
    <row r="35" spans="1:15" s="6" customFormat="1" ht="18.75" customHeight="1">
      <c r="A35" s="1"/>
      <c r="B35" s="1">
        <f>B34+0.01</f>
        <v>1.06</v>
      </c>
      <c r="C35" s="53" t="s">
        <v>236</v>
      </c>
      <c r="D35" s="1">
        <v>1</v>
      </c>
      <c r="E35" s="1" t="s">
        <v>197</v>
      </c>
      <c r="F35" s="54">
        <v>520</v>
      </c>
      <c r="G35" s="54">
        <v>150</v>
      </c>
      <c r="H35" s="54">
        <f t="shared" si="1"/>
        <v>147.4</v>
      </c>
      <c r="I35" s="54">
        <f t="shared" si="2"/>
        <v>817.4</v>
      </c>
      <c r="J35" s="54">
        <f t="shared" si="3"/>
        <v>520</v>
      </c>
      <c r="K35" s="54">
        <f t="shared" si="4"/>
        <v>150</v>
      </c>
      <c r="L35" s="54">
        <f t="shared" si="5"/>
        <v>147.4</v>
      </c>
      <c r="M35" s="69">
        <f t="shared" si="6"/>
        <v>817.4</v>
      </c>
      <c r="N35" s="91"/>
    </row>
    <row r="36" spans="1:15" s="6" customFormat="1" ht="18.75" customHeight="1">
      <c r="A36" s="1"/>
      <c r="B36" s="1"/>
      <c r="C36" s="53"/>
      <c r="D36" s="1"/>
      <c r="E36" s="1"/>
      <c r="G36" s="80"/>
      <c r="H36" s="80"/>
      <c r="I36" s="54"/>
      <c r="J36" s="54"/>
      <c r="K36" s="54"/>
      <c r="L36" s="80" t="s">
        <v>208</v>
      </c>
      <c r="M36" s="81">
        <f>SUM(M29:M35)</f>
        <v>226029.4</v>
      </c>
      <c r="N36" s="93"/>
      <c r="O36" s="79">
        <f>M36</f>
        <v>226029.4</v>
      </c>
    </row>
    <row r="37" spans="1:15" s="11" customFormat="1" ht="18.75" customHeight="1">
      <c r="A37" s="85">
        <v>2</v>
      </c>
      <c r="B37" s="74"/>
      <c r="C37" s="57" t="s">
        <v>147</v>
      </c>
      <c r="D37" s="1"/>
      <c r="E37" s="1"/>
      <c r="F37" s="54"/>
      <c r="G37" s="54"/>
      <c r="H37" s="54"/>
      <c r="I37" s="54"/>
      <c r="J37" s="54"/>
      <c r="K37" s="54"/>
      <c r="L37" s="54"/>
      <c r="M37" s="69"/>
      <c r="O37" s="15"/>
    </row>
    <row r="38" spans="1:15" ht="18.75" customHeight="1">
      <c r="A38" s="1"/>
      <c r="B38" s="68">
        <v>2.0099999999999998</v>
      </c>
      <c r="C38" s="53" t="s">
        <v>266</v>
      </c>
      <c r="D38" s="1">
        <v>4</v>
      </c>
      <c r="E38" s="1" t="s">
        <v>1</v>
      </c>
      <c r="F38" s="54">
        <v>10000</v>
      </c>
      <c r="G38" s="54">
        <v>500</v>
      </c>
      <c r="H38" s="54">
        <f t="shared" ref="H38:H43" si="7">0.22*(F38+G38)</f>
        <v>2310</v>
      </c>
      <c r="I38" s="54">
        <f t="shared" ref="I38:I124" si="8">SUM(F38:H38)</f>
        <v>12810</v>
      </c>
      <c r="J38" s="54">
        <f t="shared" ref="J38:J43" si="9">D38*F38</f>
        <v>40000</v>
      </c>
      <c r="K38" s="54">
        <f t="shared" ref="K38:K43" si="10">D38*G38</f>
        <v>2000</v>
      </c>
      <c r="L38" s="54">
        <f t="shared" ref="L38:L43" si="11">D38*H38</f>
        <v>9240</v>
      </c>
      <c r="M38" s="69">
        <f t="shared" ref="M38:M43" si="12">SUM(J38:L38)</f>
        <v>51240</v>
      </c>
      <c r="N38" s="91"/>
    </row>
    <row r="39" spans="1:15" ht="18.75" customHeight="1">
      <c r="A39" s="1"/>
      <c r="B39" s="68">
        <f>B38+0.01</f>
        <v>2.0199999999999996</v>
      </c>
      <c r="C39" s="53" t="s">
        <v>267</v>
      </c>
      <c r="D39" s="1">
        <v>1</v>
      </c>
      <c r="E39" s="1" t="s">
        <v>1</v>
      </c>
      <c r="F39" s="54">
        <v>16000</v>
      </c>
      <c r="G39" s="54">
        <v>500</v>
      </c>
      <c r="H39" s="54">
        <f t="shared" si="7"/>
        <v>3630</v>
      </c>
      <c r="I39" s="54">
        <f t="shared" si="8"/>
        <v>20130</v>
      </c>
      <c r="J39" s="54">
        <f t="shared" si="9"/>
        <v>16000</v>
      </c>
      <c r="K39" s="54">
        <f t="shared" si="10"/>
        <v>500</v>
      </c>
      <c r="L39" s="54">
        <f t="shared" si="11"/>
        <v>3630</v>
      </c>
      <c r="M39" s="69">
        <f t="shared" si="12"/>
        <v>20130</v>
      </c>
      <c r="N39" s="91"/>
    </row>
    <row r="40" spans="1:15" ht="18.75" customHeight="1">
      <c r="A40" s="1"/>
      <c r="B40" s="68">
        <f>B39+0.01</f>
        <v>2.0299999999999994</v>
      </c>
      <c r="C40" s="53" t="s">
        <v>201</v>
      </c>
      <c r="D40" s="1">
        <v>2</v>
      </c>
      <c r="E40" s="1" t="s">
        <v>1</v>
      </c>
      <c r="F40" s="54">
        <v>9000</v>
      </c>
      <c r="G40" s="54">
        <v>500</v>
      </c>
      <c r="H40" s="54">
        <f t="shared" si="7"/>
        <v>2090</v>
      </c>
      <c r="I40" s="54">
        <f t="shared" si="8"/>
        <v>11590</v>
      </c>
      <c r="J40" s="54">
        <f t="shared" si="9"/>
        <v>18000</v>
      </c>
      <c r="K40" s="54">
        <f t="shared" si="10"/>
        <v>1000</v>
      </c>
      <c r="L40" s="54">
        <f t="shared" si="11"/>
        <v>4180</v>
      </c>
      <c r="M40" s="69">
        <f t="shared" si="12"/>
        <v>23180</v>
      </c>
      <c r="N40" s="91"/>
    </row>
    <row r="41" spans="1:15" ht="18.75" customHeight="1">
      <c r="A41" s="1"/>
      <c r="B41" s="68">
        <f>B40+0.01</f>
        <v>2.0399999999999991</v>
      </c>
      <c r="C41" s="53" t="s">
        <v>202</v>
      </c>
      <c r="D41" s="1">
        <v>2</v>
      </c>
      <c r="E41" s="1" t="s">
        <v>1</v>
      </c>
      <c r="F41" s="54">
        <v>12000</v>
      </c>
      <c r="G41" s="54">
        <v>500</v>
      </c>
      <c r="H41" s="54">
        <f t="shared" si="7"/>
        <v>2750</v>
      </c>
      <c r="I41" s="54">
        <f t="shared" si="8"/>
        <v>15250</v>
      </c>
      <c r="J41" s="54">
        <f t="shared" si="9"/>
        <v>24000</v>
      </c>
      <c r="K41" s="54">
        <f t="shared" si="10"/>
        <v>1000</v>
      </c>
      <c r="L41" s="54">
        <f t="shared" si="11"/>
        <v>5500</v>
      </c>
      <c r="M41" s="69">
        <f t="shared" si="12"/>
        <v>30500</v>
      </c>
      <c r="N41" s="91"/>
    </row>
    <row r="42" spans="1:15" ht="18.75" customHeight="1">
      <c r="A42" s="1"/>
      <c r="B42" s="68">
        <f>B41+0.01</f>
        <v>2.0499999999999989</v>
      </c>
      <c r="C42" s="53" t="s">
        <v>219</v>
      </c>
      <c r="D42" s="1">
        <v>1</v>
      </c>
      <c r="E42" s="1" t="s">
        <v>1</v>
      </c>
      <c r="F42" s="54">
        <v>2500</v>
      </c>
      <c r="G42" s="54">
        <v>500</v>
      </c>
      <c r="H42" s="54">
        <f t="shared" si="7"/>
        <v>660</v>
      </c>
      <c r="I42" s="54">
        <f t="shared" si="8"/>
        <v>3660</v>
      </c>
      <c r="J42" s="54">
        <f t="shared" si="9"/>
        <v>2500</v>
      </c>
      <c r="K42" s="54">
        <f t="shared" si="10"/>
        <v>500</v>
      </c>
      <c r="L42" s="54">
        <f t="shared" si="11"/>
        <v>660</v>
      </c>
      <c r="M42" s="69">
        <f t="shared" si="12"/>
        <v>3660</v>
      </c>
      <c r="N42" s="91"/>
    </row>
    <row r="43" spans="1:15" ht="18.75" customHeight="1">
      <c r="A43" s="1"/>
      <c r="B43" s="68">
        <f>B42+0.01</f>
        <v>2.0599999999999987</v>
      </c>
      <c r="C43" s="53" t="s">
        <v>272</v>
      </c>
      <c r="D43" s="1">
        <v>2</v>
      </c>
      <c r="E43" s="1" t="s">
        <v>1</v>
      </c>
      <c r="F43" s="54">
        <v>1500</v>
      </c>
      <c r="G43" s="54">
        <v>500</v>
      </c>
      <c r="H43" s="54">
        <f t="shared" si="7"/>
        <v>440</v>
      </c>
      <c r="I43" s="54">
        <f t="shared" si="8"/>
        <v>2440</v>
      </c>
      <c r="J43" s="54">
        <f t="shared" si="9"/>
        <v>3000</v>
      </c>
      <c r="K43" s="54">
        <f t="shared" si="10"/>
        <v>1000</v>
      </c>
      <c r="L43" s="54">
        <f t="shared" si="11"/>
        <v>880</v>
      </c>
      <c r="M43" s="69">
        <f t="shared" si="12"/>
        <v>4880</v>
      </c>
      <c r="N43" s="91"/>
    </row>
    <row r="44" spans="1:15" ht="18.75" customHeight="1">
      <c r="A44" s="1"/>
      <c r="B44" s="68"/>
      <c r="C44" s="53"/>
      <c r="D44" s="1"/>
      <c r="E44" s="1"/>
      <c r="G44" s="80"/>
      <c r="H44" s="80"/>
      <c r="I44" s="54"/>
      <c r="J44" s="54"/>
      <c r="K44" s="54"/>
      <c r="L44" s="80" t="s">
        <v>208</v>
      </c>
      <c r="M44" s="81">
        <f>SUM(M38:M43)</f>
        <v>133590</v>
      </c>
      <c r="N44" s="92"/>
      <c r="O44" s="15">
        <f>M44</f>
        <v>133590</v>
      </c>
    </row>
    <row r="45" spans="1:15" s="11" customFormat="1" ht="18.75" customHeight="1">
      <c r="A45" s="85">
        <v>3</v>
      </c>
      <c r="B45" s="74"/>
      <c r="C45" s="57" t="s">
        <v>288</v>
      </c>
      <c r="D45" s="1"/>
      <c r="E45" s="1"/>
      <c r="F45" s="54"/>
      <c r="G45" s="54"/>
      <c r="H45" s="54"/>
      <c r="I45" s="54"/>
      <c r="J45" s="54"/>
      <c r="K45" s="54"/>
      <c r="L45" s="54"/>
      <c r="M45" s="69"/>
      <c r="O45" s="15"/>
    </row>
    <row r="46" spans="1:15" s="11" customFormat="1" ht="18.75" customHeight="1">
      <c r="A46" s="85"/>
      <c r="B46" s="74"/>
      <c r="C46" s="56" t="s">
        <v>282</v>
      </c>
      <c r="D46" s="1"/>
      <c r="E46" s="1"/>
      <c r="F46" s="54"/>
      <c r="G46" s="54"/>
      <c r="H46" s="54"/>
      <c r="I46" s="54"/>
      <c r="J46" s="54"/>
      <c r="K46" s="54"/>
      <c r="L46" s="54"/>
      <c r="M46" s="69"/>
      <c r="O46" s="15"/>
    </row>
    <row r="47" spans="1:15" s="5" customFormat="1" ht="18.75" customHeight="1">
      <c r="A47" s="68"/>
      <c r="B47" s="1">
        <v>3.01</v>
      </c>
      <c r="C47" s="71" t="s">
        <v>194</v>
      </c>
      <c r="D47" s="1">
        <v>36</v>
      </c>
      <c r="E47" s="1" t="s">
        <v>197</v>
      </c>
      <c r="F47" s="70">
        <v>1350</v>
      </c>
      <c r="G47" s="70">
        <v>945</v>
      </c>
      <c r="H47" s="70">
        <f>0.22*(F47+G47)</f>
        <v>504.9</v>
      </c>
      <c r="I47" s="54">
        <f t="shared" si="8"/>
        <v>2799.9</v>
      </c>
      <c r="J47" s="54">
        <f>D47*F47</f>
        <v>48600</v>
      </c>
      <c r="K47" s="54">
        <f t="shared" ref="K47:K124" si="13">D47*G47</f>
        <v>34020</v>
      </c>
      <c r="L47" s="54">
        <f t="shared" ref="L47:L124" si="14">D47*H47</f>
        <v>18176.399999999998</v>
      </c>
      <c r="M47" s="69">
        <f>SUM(J47:L47)</f>
        <v>100796.4</v>
      </c>
    </row>
    <row r="48" spans="1:15" s="5" customFormat="1" ht="18.75" customHeight="1">
      <c r="A48" s="68"/>
      <c r="B48" s="1">
        <f>0.01+B47</f>
        <v>3.0199999999999996</v>
      </c>
      <c r="C48" s="71" t="s">
        <v>176</v>
      </c>
      <c r="D48" s="1">
        <v>84</v>
      </c>
      <c r="E48" s="1" t="s">
        <v>197</v>
      </c>
      <c r="F48" s="70">
        <v>80</v>
      </c>
      <c r="G48" s="70">
        <v>56</v>
      </c>
      <c r="H48" s="70">
        <f t="shared" ref="H48:H65" si="15">0.22*(F48+G48)</f>
        <v>29.92</v>
      </c>
      <c r="I48" s="54">
        <f t="shared" si="8"/>
        <v>165.92000000000002</v>
      </c>
      <c r="J48" s="54">
        <f t="shared" ref="J48:J55" si="16">D48*F48</f>
        <v>6720</v>
      </c>
      <c r="K48" s="54">
        <f t="shared" si="13"/>
        <v>4704</v>
      </c>
      <c r="L48" s="54">
        <f t="shared" si="14"/>
        <v>2513.2800000000002</v>
      </c>
      <c r="M48" s="69">
        <f t="shared" ref="M48:M55" si="17">SUM(J48:L48)</f>
        <v>13937.28</v>
      </c>
    </row>
    <row r="49" spans="1:16" s="5" customFormat="1" ht="18.75" customHeight="1">
      <c r="A49" s="68"/>
      <c r="B49" s="1">
        <f t="shared" ref="B49:B55" si="18">B48+0.01</f>
        <v>3.0299999999999994</v>
      </c>
      <c r="C49" s="71" t="s">
        <v>273</v>
      </c>
      <c r="D49" s="1">
        <v>12</v>
      </c>
      <c r="E49" s="1" t="s">
        <v>197</v>
      </c>
      <c r="F49" s="70">
        <v>190</v>
      </c>
      <c r="G49" s="70">
        <v>133</v>
      </c>
      <c r="H49" s="70">
        <f t="shared" si="15"/>
        <v>71.06</v>
      </c>
      <c r="I49" s="54">
        <f t="shared" si="8"/>
        <v>394.06</v>
      </c>
      <c r="J49" s="54">
        <f t="shared" si="16"/>
        <v>2280</v>
      </c>
      <c r="K49" s="54">
        <f t="shared" si="13"/>
        <v>1596</v>
      </c>
      <c r="L49" s="54">
        <f t="shared" si="14"/>
        <v>852.72</v>
      </c>
      <c r="M49" s="69">
        <f t="shared" si="17"/>
        <v>4728.72</v>
      </c>
    </row>
    <row r="50" spans="1:16" ht="18.75" customHeight="1">
      <c r="A50" s="1"/>
      <c r="B50" s="1">
        <f t="shared" si="18"/>
        <v>3.0399999999999991</v>
      </c>
      <c r="C50" s="76" t="s">
        <v>275</v>
      </c>
      <c r="D50" s="1">
        <v>12</v>
      </c>
      <c r="E50" s="1" t="s">
        <v>1</v>
      </c>
      <c r="F50" s="54">
        <v>320</v>
      </c>
      <c r="G50" s="54">
        <v>224</v>
      </c>
      <c r="H50" s="70">
        <f t="shared" si="15"/>
        <v>119.68</v>
      </c>
      <c r="I50" s="54">
        <f t="shared" si="8"/>
        <v>663.68000000000006</v>
      </c>
      <c r="J50" s="54">
        <f t="shared" si="16"/>
        <v>3840</v>
      </c>
      <c r="K50" s="54">
        <f t="shared" si="13"/>
        <v>2688</v>
      </c>
      <c r="L50" s="54">
        <f t="shared" si="14"/>
        <v>1436.16</v>
      </c>
      <c r="M50" s="69">
        <f t="shared" si="17"/>
        <v>7964.16</v>
      </c>
    </row>
    <row r="51" spans="1:16" ht="18.75" customHeight="1">
      <c r="A51" s="1"/>
      <c r="B51" s="1">
        <f t="shared" si="18"/>
        <v>3.0499999999999989</v>
      </c>
      <c r="C51" s="71" t="s">
        <v>274</v>
      </c>
      <c r="D51" s="1">
        <v>12</v>
      </c>
      <c r="E51" s="1" t="s">
        <v>197</v>
      </c>
      <c r="F51" s="54">
        <v>190</v>
      </c>
      <c r="G51" s="54">
        <v>133</v>
      </c>
      <c r="H51" s="70">
        <f t="shared" si="15"/>
        <v>71.06</v>
      </c>
      <c r="I51" s="54">
        <f t="shared" si="8"/>
        <v>394.06</v>
      </c>
      <c r="J51" s="54">
        <f t="shared" si="16"/>
        <v>2280</v>
      </c>
      <c r="K51" s="54">
        <f t="shared" si="13"/>
        <v>1596</v>
      </c>
      <c r="L51" s="54">
        <f t="shared" si="14"/>
        <v>852.72</v>
      </c>
      <c r="M51" s="69">
        <f t="shared" si="17"/>
        <v>4728.72</v>
      </c>
    </row>
    <row r="52" spans="1:16" ht="18.75" customHeight="1">
      <c r="A52" s="1"/>
      <c r="B52" s="1">
        <f t="shared" si="18"/>
        <v>3.0599999999999987</v>
      </c>
      <c r="C52" s="76" t="s">
        <v>238</v>
      </c>
      <c r="D52" s="1">
        <v>12</v>
      </c>
      <c r="E52" s="1" t="s">
        <v>1</v>
      </c>
      <c r="F52" s="54">
        <v>190</v>
      </c>
      <c r="G52" s="54">
        <v>133</v>
      </c>
      <c r="H52" s="70">
        <f t="shared" si="15"/>
        <v>71.06</v>
      </c>
      <c r="I52" s="54">
        <f t="shared" si="8"/>
        <v>394.06</v>
      </c>
      <c r="J52" s="54">
        <f t="shared" si="16"/>
        <v>2280</v>
      </c>
      <c r="K52" s="54">
        <f t="shared" si="13"/>
        <v>1596</v>
      </c>
      <c r="L52" s="54">
        <f t="shared" si="14"/>
        <v>852.72</v>
      </c>
      <c r="M52" s="69">
        <f t="shared" si="17"/>
        <v>4728.72</v>
      </c>
    </row>
    <row r="53" spans="1:16" ht="18.75" customHeight="1">
      <c r="A53" s="1"/>
      <c r="B53" s="1">
        <f t="shared" si="18"/>
        <v>3.0699999999999985</v>
      </c>
      <c r="C53" s="76" t="s">
        <v>239</v>
      </c>
      <c r="D53" s="1">
        <v>12</v>
      </c>
      <c r="E53" s="1" t="s">
        <v>1</v>
      </c>
      <c r="F53" s="54">
        <v>250</v>
      </c>
      <c r="G53" s="54">
        <v>175</v>
      </c>
      <c r="H53" s="70">
        <f t="shared" si="15"/>
        <v>93.5</v>
      </c>
      <c r="I53" s="54">
        <f t="shared" si="8"/>
        <v>518.5</v>
      </c>
      <c r="J53" s="54">
        <f t="shared" si="16"/>
        <v>3000</v>
      </c>
      <c r="K53" s="54">
        <f t="shared" si="13"/>
        <v>2100</v>
      </c>
      <c r="L53" s="54">
        <f t="shared" si="14"/>
        <v>1122</v>
      </c>
      <c r="M53" s="69">
        <f t="shared" si="17"/>
        <v>6222</v>
      </c>
    </row>
    <row r="54" spans="1:16" ht="18.75" customHeight="1">
      <c r="A54" s="1"/>
      <c r="B54" s="1">
        <f t="shared" si="18"/>
        <v>3.0799999999999983</v>
      </c>
      <c r="C54" s="76" t="s">
        <v>175</v>
      </c>
      <c r="D54" s="1">
        <v>15</v>
      </c>
      <c r="E54" s="1" t="s">
        <v>134</v>
      </c>
      <c r="F54" s="54">
        <v>140</v>
      </c>
      <c r="G54" s="54">
        <v>98</v>
      </c>
      <c r="H54" s="70">
        <f t="shared" si="15"/>
        <v>52.36</v>
      </c>
      <c r="I54" s="54">
        <f t="shared" si="8"/>
        <v>290.36</v>
      </c>
      <c r="J54" s="54">
        <f t="shared" si="16"/>
        <v>2100</v>
      </c>
      <c r="K54" s="54">
        <f t="shared" si="13"/>
        <v>1470</v>
      </c>
      <c r="L54" s="54">
        <f t="shared" si="14"/>
        <v>785.4</v>
      </c>
      <c r="M54" s="69">
        <f t="shared" si="17"/>
        <v>4355.3999999999996</v>
      </c>
    </row>
    <row r="55" spans="1:16" s="5" customFormat="1" ht="18.75" customHeight="1">
      <c r="A55" s="68"/>
      <c r="B55" s="1">
        <f t="shared" si="18"/>
        <v>3.0899999999999981</v>
      </c>
      <c r="C55" s="71" t="s">
        <v>166</v>
      </c>
      <c r="D55" s="1">
        <v>18</v>
      </c>
      <c r="E55" s="1" t="s">
        <v>105</v>
      </c>
      <c r="F55" s="70">
        <v>80</v>
      </c>
      <c r="G55" s="70">
        <v>56</v>
      </c>
      <c r="H55" s="70">
        <f t="shared" si="15"/>
        <v>29.92</v>
      </c>
      <c r="I55" s="54">
        <f t="shared" si="8"/>
        <v>165.92000000000002</v>
      </c>
      <c r="J55" s="54">
        <f t="shared" si="16"/>
        <v>1440</v>
      </c>
      <c r="K55" s="54">
        <f t="shared" si="13"/>
        <v>1008</v>
      </c>
      <c r="L55" s="54">
        <f t="shared" si="14"/>
        <v>538.56000000000006</v>
      </c>
      <c r="M55" s="69">
        <f t="shared" si="17"/>
        <v>2986.56</v>
      </c>
    </row>
    <row r="56" spans="1:16" s="5" customFormat="1" ht="18.75" customHeight="1">
      <c r="A56" s="68"/>
      <c r="B56" s="1"/>
      <c r="C56" s="67" t="s">
        <v>117</v>
      </c>
      <c r="D56" s="1"/>
      <c r="E56" s="1"/>
      <c r="F56" s="70"/>
      <c r="G56" s="70"/>
      <c r="H56" s="70"/>
      <c r="I56" s="54"/>
      <c r="J56" s="54"/>
      <c r="K56" s="54"/>
      <c r="L56" s="54"/>
      <c r="M56" s="69"/>
    </row>
    <row r="57" spans="1:16" s="5" customFormat="1" ht="18.75" customHeight="1">
      <c r="A57" s="68"/>
      <c r="B57" s="1">
        <f>B55+0.01</f>
        <v>3.0999999999999979</v>
      </c>
      <c r="C57" s="71" t="s">
        <v>168</v>
      </c>
      <c r="D57" s="1">
        <v>150</v>
      </c>
      <c r="E57" s="1" t="s">
        <v>197</v>
      </c>
      <c r="F57" s="70">
        <v>20</v>
      </c>
      <c r="G57" s="70">
        <v>14</v>
      </c>
      <c r="H57" s="70">
        <f t="shared" si="15"/>
        <v>7.48</v>
      </c>
      <c r="I57" s="54">
        <f t="shared" si="8"/>
        <v>41.480000000000004</v>
      </c>
      <c r="J57" s="54">
        <f t="shared" ref="J57:J124" si="19">D57*F57</f>
        <v>3000</v>
      </c>
      <c r="K57" s="54">
        <f t="shared" si="13"/>
        <v>2100</v>
      </c>
      <c r="L57" s="54">
        <f t="shared" si="14"/>
        <v>1122</v>
      </c>
      <c r="M57" s="69">
        <f>SUM(J57:L57)</f>
        <v>6222</v>
      </c>
    </row>
    <row r="58" spans="1:16" ht="18.75" customHeight="1">
      <c r="A58" s="1"/>
      <c r="B58" s="1">
        <f>B57+0.01</f>
        <v>3.1099999999999977</v>
      </c>
      <c r="C58" s="76" t="s">
        <v>167</v>
      </c>
      <c r="D58" s="1">
        <v>150</v>
      </c>
      <c r="E58" s="1" t="s">
        <v>197</v>
      </c>
      <c r="F58" s="54">
        <v>20</v>
      </c>
      <c r="G58" s="54">
        <v>14</v>
      </c>
      <c r="H58" s="70">
        <f t="shared" si="15"/>
        <v>7.48</v>
      </c>
      <c r="I58" s="54">
        <f t="shared" si="8"/>
        <v>41.480000000000004</v>
      </c>
      <c r="J58" s="54">
        <f t="shared" si="19"/>
        <v>3000</v>
      </c>
      <c r="K58" s="54">
        <f t="shared" si="13"/>
        <v>2100</v>
      </c>
      <c r="L58" s="54">
        <f t="shared" si="14"/>
        <v>1122</v>
      </c>
      <c r="M58" s="69">
        <f t="shared" ref="M58:M65" si="20">SUM(J58:L58)</f>
        <v>6222</v>
      </c>
    </row>
    <row r="59" spans="1:16" s="5" customFormat="1" ht="18.75" customHeight="1">
      <c r="A59" s="68"/>
      <c r="B59" s="1">
        <f t="shared" ref="B59:B65" si="21">B58+0.01</f>
        <v>3.1199999999999974</v>
      </c>
      <c r="C59" s="71" t="s">
        <v>171</v>
      </c>
      <c r="D59" s="1">
        <v>15</v>
      </c>
      <c r="E59" s="1" t="s">
        <v>197</v>
      </c>
      <c r="F59" s="70">
        <v>50</v>
      </c>
      <c r="G59" s="70">
        <v>35</v>
      </c>
      <c r="H59" s="70">
        <f t="shared" si="15"/>
        <v>18.7</v>
      </c>
      <c r="I59" s="54">
        <f t="shared" si="8"/>
        <v>103.7</v>
      </c>
      <c r="J59" s="54">
        <f t="shared" si="19"/>
        <v>750</v>
      </c>
      <c r="K59" s="54">
        <f t="shared" si="13"/>
        <v>525</v>
      </c>
      <c r="L59" s="54">
        <f t="shared" si="14"/>
        <v>280.5</v>
      </c>
      <c r="M59" s="69">
        <f t="shared" si="20"/>
        <v>1555.5</v>
      </c>
    </row>
    <row r="60" spans="1:16" s="5" customFormat="1" ht="18.75" customHeight="1">
      <c r="A60" s="68"/>
      <c r="B60" s="1">
        <f t="shared" si="21"/>
        <v>3.1299999999999972</v>
      </c>
      <c r="C60" s="71" t="s">
        <v>182</v>
      </c>
      <c r="D60" s="1">
        <v>11</v>
      </c>
      <c r="E60" s="1" t="s">
        <v>136</v>
      </c>
      <c r="F60" s="70">
        <v>660</v>
      </c>
      <c r="G60" s="70">
        <v>460</v>
      </c>
      <c r="H60" s="70">
        <f t="shared" si="15"/>
        <v>246.4</v>
      </c>
      <c r="I60" s="54">
        <f t="shared" si="8"/>
        <v>1366.4</v>
      </c>
      <c r="J60" s="54">
        <f t="shared" si="19"/>
        <v>7260</v>
      </c>
      <c r="K60" s="54">
        <f t="shared" si="13"/>
        <v>5060</v>
      </c>
      <c r="L60" s="54">
        <f t="shared" si="14"/>
        <v>2710.4</v>
      </c>
      <c r="M60" s="69">
        <f t="shared" si="20"/>
        <v>15030.4</v>
      </c>
    </row>
    <row r="61" spans="1:16" s="5" customFormat="1" ht="18.75" customHeight="1">
      <c r="A61" s="68"/>
      <c r="B61" s="1">
        <f t="shared" si="21"/>
        <v>3.139999999999997</v>
      </c>
      <c r="C61" s="71" t="s">
        <v>183</v>
      </c>
      <c r="D61" s="1">
        <v>18</v>
      </c>
      <c r="E61" s="1" t="s">
        <v>136</v>
      </c>
      <c r="F61" s="70">
        <v>650</v>
      </c>
      <c r="G61" s="70">
        <v>455</v>
      </c>
      <c r="H61" s="70">
        <f t="shared" si="15"/>
        <v>243.1</v>
      </c>
      <c r="I61" s="54">
        <f t="shared" si="8"/>
        <v>1348.1</v>
      </c>
      <c r="J61" s="54">
        <f t="shared" si="19"/>
        <v>11700</v>
      </c>
      <c r="K61" s="54">
        <f t="shared" si="13"/>
        <v>8190</v>
      </c>
      <c r="L61" s="54">
        <f t="shared" si="14"/>
        <v>4375.8</v>
      </c>
      <c r="M61" s="69">
        <f t="shared" si="20"/>
        <v>24265.8</v>
      </c>
    </row>
    <row r="62" spans="1:16" s="5" customFormat="1" ht="18.75" customHeight="1">
      <c r="A62" s="68"/>
      <c r="B62" s="1">
        <f t="shared" si="21"/>
        <v>3.1499999999999968</v>
      </c>
      <c r="C62" s="71" t="s">
        <v>184</v>
      </c>
      <c r="D62" s="1">
        <v>9</v>
      </c>
      <c r="E62" s="1" t="s">
        <v>136</v>
      </c>
      <c r="F62" s="70">
        <v>420</v>
      </c>
      <c r="G62" s="70">
        <v>290</v>
      </c>
      <c r="H62" s="70">
        <f t="shared" si="15"/>
        <v>156.19999999999999</v>
      </c>
      <c r="I62" s="54">
        <f t="shared" si="8"/>
        <v>866.2</v>
      </c>
      <c r="J62" s="54">
        <f t="shared" si="19"/>
        <v>3780</v>
      </c>
      <c r="K62" s="54">
        <f t="shared" si="13"/>
        <v>2610</v>
      </c>
      <c r="L62" s="54">
        <f t="shared" si="14"/>
        <v>1405.8</v>
      </c>
      <c r="M62" s="69">
        <f t="shared" si="20"/>
        <v>7795.8</v>
      </c>
    </row>
    <row r="63" spans="1:16" s="5" customFormat="1" ht="18.75" customHeight="1">
      <c r="A63" s="68"/>
      <c r="B63" s="1">
        <f t="shared" si="21"/>
        <v>3.1599999999999966</v>
      </c>
      <c r="C63" s="71" t="s">
        <v>224</v>
      </c>
      <c r="D63" s="1">
        <v>9</v>
      </c>
      <c r="E63" s="1" t="s">
        <v>136</v>
      </c>
      <c r="F63" s="70">
        <v>860</v>
      </c>
      <c r="G63" s="70">
        <v>600</v>
      </c>
      <c r="H63" s="70">
        <f t="shared" si="15"/>
        <v>321.2</v>
      </c>
      <c r="I63" s="54">
        <f t="shared" si="8"/>
        <v>1781.2</v>
      </c>
      <c r="J63" s="54">
        <f t="shared" si="19"/>
        <v>7740</v>
      </c>
      <c r="K63" s="54">
        <f t="shared" si="13"/>
        <v>5400</v>
      </c>
      <c r="L63" s="54">
        <f t="shared" si="14"/>
        <v>2890.7999999999997</v>
      </c>
      <c r="M63" s="69">
        <f t="shared" si="20"/>
        <v>16030.8</v>
      </c>
    </row>
    <row r="64" spans="1:16" s="5" customFormat="1" ht="18.75" customHeight="1">
      <c r="A64" s="68"/>
      <c r="B64" s="1">
        <f t="shared" si="21"/>
        <v>3.1699999999999964</v>
      </c>
      <c r="C64" s="71" t="s">
        <v>186</v>
      </c>
      <c r="D64" s="1">
        <v>3</v>
      </c>
      <c r="E64" s="1" t="s">
        <v>174</v>
      </c>
      <c r="F64" s="70">
        <v>180</v>
      </c>
      <c r="G64" s="70">
        <v>120</v>
      </c>
      <c r="H64" s="70">
        <f t="shared" si="15"/>
        <v>66</v>
      </c>
      <c r="I64" s="54">
        <f t="shared" si="8"/>
        <v>366</v>
      </c>
      <c r="J64" s="54">
        <f t="shared" si="19"/>
        <v>540</v>
      </c>
      <c r="K64" s="54">
        <f t="shared" si="13"/>
        <v>360</v>
      </c>
      <c r="L64" s="54">
        <f t="shared" si="14"/>
        <v>198</v>
      </c>
      <c r="M64" s="69">
        <f t="shared" si="20"/>
        <v>1098</v>
      </c>
      <c r="P64" s="75"/>
    </row>
    <row r="65" spans="1:15" s="5" customFormat="1" ht="18.75" customHeight="1">
      <c r="A65" s="68"/>
      <c r="B65" s="1">
        <f t="shared" si="21"/>
        <v>3.1799999999999962</v>
      </c>
      <c r="C65" s="71" t="s">
        <v>185</v>
      </c>
      <c r="D65" s="1">
        <v>3</v>
      </c>
      <c r="E65" s="1" t="s">
        <v>174</v>
      </c>
      <c r="F65" s="70">
        <v>620</v>
      </c>
      <c r="G65" s="70">
        <v>430</v>
      </c>
      <c r="H65" s="70">
        <f t="shared" si="15"/>
        <v>231</v>
      </c>
      <c r="I65" s="54">
        <f t="shared" si="8"/>
        <v>1281</v>
      </c>
      <c r="J65" s="54">
        <f t="shared" si="19"/>
        <v>1860</v>
      </c>
      <c r="K65" s="54">
        <f t="shared" si="13"/>
        <v>1290</v>
      </c>
      <c r="L65" s="54">
        <f t="shared" si="14"/>
        <v>693</v>
      </c>
      <c r="M65" s="69">
        <f t="shared" si="20"/>
        <v>3843</v>
      </c>
    </row>
    <row r="66" spans="1:15" s="5" customFormat="1" ht="18.75" customHeight="1">
      <c r="A66" s="68"/>
      <c r="B66" s="1"/>
      <c r="C66" s="71"/>
      <c r="D66" s="1"/>
      <c r="E66" s="1"/>
      <c r="F66" s="88"/>
      <c r="G66" s="82"/>
      <c r="H66" s="82"/>
      <c r="I66" s="54"/>
      <c r="J66" s="54"/>
      <c r="K66" s="54"/>
      <c r="L66" s="82" t="s">
        <v>208</v>
      </c>
      <c r="M66" s="81">
        <f>SUM(M47:M65)</f>
        <v>232511.25999999995</v>
      </c>
      <c r="O66" s="72">
        <f>M66</f>
        <v>232511.25999999995</v>
      </c>
    </row>
    <row r="67" spans="1:15" s="11" customFormat="1" ht="18.75" customHeight="1">
      <c r="A67" s="85">
        <v>4</v>
      </c>
      <c r="B67" s="74"/>
      <c r="C67" s="57" t="s">
        <v>3</v>
      </c>
      <c r="D67" s="1"/>
      <c r="E67" s="1"/>
      <c r="F67" s="54"/>
      <c r="G67" s="54"/>
      <c r="H67" s="54"/>
      <c r="I67" s="54"/>
      <c r="J67" s="54"/>
      <c r="K67" s="54"/>
      <c r="L67" s="54"/>
      <c r="M67" s="69"/>
      <c r="O67" s="15"/>
    </row>
    <row r="68" spans="1:15" s="5" customFormat="1" ht="18.75" customHeight="1">
      <c r="A68" s="68"/>
      <c r="B68" s="1">
        <v>4.01</v>
      </c>
      <c r="C68" s="67" t="s">
        <v>283</v>
      </c>
      <c r="D68" s="1">
        <v>109</v>
      </c>
      <c r="E68" s="1" t="s">
        <v>172</v>
      </c>
      <c r="F68" s="70">
        <v>1300</v>
      </c>
      <c r="G68" s="70">
        <v>390</v>
      </c>
      <c r="H68" s="70">
        <f>0.22*(F68+G68)</f>
        <v>371.8</v>
      </c>
      <c r="I68" s="54">
        <f t="shared" si="8"/>
        <v>2061.8000000000002</v>
      </c>
      <c r="J68" s="54">
        <f t="shared" si="19"/>
        <v>141700</v>
      </c>
      <c r="K68" s="54">
        <f t="shared" si="13"/>
        <v>42510</v>
      </c>
      <c r="L68" s="54">
        <f t="shared" si="14"/>
        <v>40526.200000000004</v>
      </c>
      <c r="M68" s="69">
        <f>SUM(J68:L68)</f>
        <v>224736.2</v>
      </c>
    </row>
    <row r="69" spans="1:15" ht="18.75" customHeight="1">
      <c r="A69" s="1"/>
      <c r="B69" s="1">
        <v>4.0199999999999996</v>
      </c>
      <c r="C69" s="53" t="s">
        <v>262</v>
      </c>
      <c r="D69" s="1">
        <v>62</v>
      </c>
      <c r="E69" s="1" t="s">
        <v>197</v>
      </c>
      <c r="F69" s="54">
        <v>230</v>
      </c>
      <c r="G69" s="54">
        <v>69</v>
      </c>
      <c r="H69" s="70">
        <f>0.22*(F69+G69)</f>
        <v>65.78</v>
      </c>
      <c r="I69" s="54">
        <f t="shared" si="8"/>
        <v>364.78</v>
      </c>
      <c r="J69" s="54">
        <f t="shared" si="19"/>
        <v>14260</v>
      </c>
      <c r="K69" s="54">
        <f t="shared" si="13"/>
        <v>4278</v>
      </c>
      <c r="L69" s="54">
        <f t="shared" si="14"/>
        <v>4078.36</v>
      </c>
      <c r="M69" s="69">
        <f>SUM(J69:L69)</f>
        <v>22616.36</v>
      </c>
    </row>
    <row r="70" spans="1:15" ht="18.75" customHeight="1">
      <c r="A70" s="1"/>
      <c r="B70" s="1">
        <v>4.03</v>
      </c>
      <c r="C70" s="53" t="s">
        <v>261</v>
      </c>
      <c r="D70" s="1">
        <v>3</v>
      </c>
      <c r="E70" s="1" t="s">
        <v>197</v>
      </c>
      <c r="F70" s="54">
        <v>400</v>
      </c>
      <c r="G70" s="54">
        <v>120</v>
      </c>
      <c r="H70" s="70">
        <f>0.22*(F70+G70)</f>
        <v>114.4</v>
      </c>
      <c r="I70" s="54">
        <f>SUM(F70:H70)</f>
        <v>634.4</v>
      </c>
      <c r="J70" s="54">
        <f t="shared" si="19"/>
        <v>1200</v>
      </c>
      <c r="K70" s="54">
        <f t="shared" si="13"/>
        <v>360</v>
      </c>
      <c r="L70" s="54">
        <f t="shared" si="14"/>
        <v>343.20000000000005</v>
      </c>
      <c r="M70" s="69">
        <f>SUM(J70:L70)</f>
        <v>1903.2</v>
      </c>
    </row>
    <row r="71" spans="1:15" ht="18.75" customHeight="1">
      <c r="A71" s="1"/>
      <c r="B71" s="1"/>
      <c r="C71" s="53"/>
      <c r="D71" s="1"/>
      <c r="E71" s="1"/>
      <c r="F71" s="87"/>
      <c r="G71" s="80"/>
      <c r="H71" s="80"/>
      <c r="I71" s="54"/>
      <c r="J71" s="54"/>
      <c r="K71" s="54"/>
      <c r="L71" s="80" t="s">
        <v>208</v>
      </c>
      <c r="M71" s="81">
        <f>SUM(M68:M70)</f>
        <v>249255.76</v>
      </c>
      <c r="O71" s="15">
        <f>M71</f>
        <v>249255.76</v>
      </c>
    </row>
    <row r="72" spans="1:15" s="11" customFormat="1" ht="18.75" customHeight="1">
      <c r="A72" s="85">
        <v>5</v>
      </c>
      <c r="B72" s="74"/>
      <c r="C72" s="57" t="s">
        <v>151</v>
      </c>
      <c r="D72" s="1"/>
      <c r="E72" s="1"/>
      <c r="F72" s="54"/>
      <c r="G72" s="54"/>
      <c r="H72" s="54"/>
      <c r="I72" s="54"/>
      <c r="J72" s="54"/>
      <c r="K72" s="54"/>
      <c r="L72" s="54"/>
      <c r="M72" s="69"/>
      <c r="O72" s="15"/>
    </row>
    <row r="73" spans="1:15" s="5" customFormat="1" ht="18.75" customHeight="1">
      <c r="A73" s="68"/>
      <c r="B73" s="1">
        <v>5.01</v>
      </c>
      <c r="C73" s="77" t="s">
        <v>191</v>
      </c>
      <c r="D73" s="1">
        <v>6</v>
      </c>
      <c r="E73" s="1" t="s">
        <v>197</v>
      </c>
      <c r="F73" s="70">
        <v>1270</v>
      </c>
      <c r="G73" s="70">
        <v>380</v>
      </c>
      <c r="H73" s="70">
        <f>0.22*(F73+G73)</f>
        <v>363</v>
      </c>
      <c r="I73" s="54">
        <f t="shared" si="8"/>
        <v>2013</v>
      </c>
      <c r="J73" s="54">
        <f t="shared" si="19"/>
        <v>7620</v>
      </c>
      <c r="K73" s="54">
        <f t="shared" si="13"/>
        <v>2280</v>
      </c>
      <c r="L73" s="54">
        <f>D73*H73</f>
        <v>2178</v>
      </c>
      <c r="M73" s="69">
        <f>SUM(J73:L73)</f>
        <v>12078</v>
      </c>
    </row>
    <row r="74" spans="1:15" ht="18.75" customHeight="1">
      <c r="A74" s="1"/>
      <c r="B74" s="1">
        <f>B73+0.01</f>
        <v>5.0199999999999996</v>
      </c>
      <c r="C74" s="77" t="s">
        <v>192</v>
      </c>
      <c r="D74" s="1">
        <v>11</v>
      </c>
      <c r="E74" s="1" t="s">
        <v>197</v>
      </c>
      <c r="F74" s="54">
        <v>760</v>
      </c>
      <c r="G74" s="54">
        <v>230</v>
      </c>
      <c r="H74" s="70">
        <f t="shared" ref="H74:H82" si="22">0.22*(F74+G74)</f>
        <v>217.8</v>
      </c>
      <c r="I74" s="54">
        <f t="shared" si="8"/>
        <v>1207.8</v>
      </c>
      <c r="J74" s="54">
        <f t="shared" si="19"/>
        <v>8360</v>
      </c>
      <c r="K74" s="54">
        <f t="shared" si="13"/>
        <v>2530</v>
      </c>
      <c r="L74" s="54">
        <f t="shared" ref="L74:L82" si="23">D74*H74</f>
        <v>2395.8000000000002</v>
      </c>
      <c r="M74" s="69">
        <f t="shared" ref="M74:M82" si="24">SUM(J74:L74)</f>
        <v>13285.8</v>
      </c>
    </row>
    <row r="75" spans="1:15" s="5" customFormat="1" ht="18.75" customHeight="1">
      <c r="A75" s="68"/>
      <c r="B75" s="1">
        <f t="shared" ref="B75:B82" si="25">B74+0.01</f>
        <v>5.0299999999999994</v>
      </c>
      <c r="C75" s="71" t="s">
        <v>103</v>
      </c>
      <c r="D75" s="1">
        <v>8</v>
      </c>
      <c r="E75" s="1" t="s">
        <v>105</v>
      </c>
      <c r="F75" s="70">
        <v>100</v>
      </c>
      <c r="G75" s="70">
        <v>27</v>
      </c>
      <c r="H75" s="70">
        <f t="shared" si="22"/>
        <v>27.94</v>
      </c>
      <c r="I75" s="54">
        <f t="shared" si="8"/>
        <v>154.94</v>
      </c>
      <c r="J75" s="54">
        <f t="shared" si="19"/>
        <v>800</v>
      </c>
      <c r="K75" s="54">
        <f t="shared" si="13"/>
        <v>216</v>
      </c>
      <c r="L75" s="54">
        <f t="shared" si="23"/>
        <v>223.52</v>
      </c>
      <c r="M75" s="69">
        <f t="shared" si="24"/>
        <v>1239.52</v>
      </c>
    </row>
    <row r="76" spans="1:15" s="5" customFormat="1" ht="18.75" customHeight="1">
      <c r="A76" s="68"/>
      <c r="B76" s="1">
        <f t="shared" si="25"/>
        <v>5.0399999999999991</v>
      </c>
      <c r="C76" s="71" t="s">
        <v>240</v>
      </c>
      <c r="D76" s="1">
        <v>30</v>
      </c>
      <c r="E76" s="1" t="s">
        <v>197</v>
      </c>
      <c r="F76" s="70">
        <v>40</v>
      </c>
      <c r="G76" s="70">
        <v>12</v>
      </c>
      <c r="H76" s="70">
        <f t="shared" si="22"/>
        <v>11.44</v>
      </c>
      <c r="I76" s="54">
        <f t="shared" si="8"/>
        <v>63.44</v>
      </c>
      <c r="J76" s="54">
        <f t="shared" si="19"/>
        <v>1200</v>
      </c>
      <c r="K76" s="54">
        <f t="shared" si="13"/>
        <v>360</v>
      </c>
      <c r="L76" s="54">
        <f t="shared" si="23"/>
        <v>343.2</v>
      </c>
      <c r="M76" s="69">
        <f t="shared" si="24"/>
        <v>1903.2</v>
      </c>
    </row>
    <row r="77" spans="1:15" s="5" customFormat="1" ht="18.75" customHeight="1">
      <c r="A77" s="68"/>
      <c r="B77" s="1">
        <f t="shared" si="25"/>
        <v>5.0499999999999989</v>
      </c>
      <c r="C77" s="78" t="s">
        <v>196</v>
      </c>
      <c r="D77" s="1">
        <v>48</v>
      </c>
      <c r="E77" s="1" t="s">
        <v>197</v>
      </c>
      <c r="F77" s="70">
        <v>740</v>
      </c>
      <c r="G77" s="70">
        <v>220</v>
      </c>
      <c r="H77" s="70">
        <f t="shared" si="22"/>
        <v>211.2</v>
      </c>
      <c r="I77" s="54">
        <f t="shared" si="8"/>
        <v>1171.2</v>
      </c>
      <c r="J77" s="54">
        <f t="shared" si="19"/>
        <v>35520</v>
      </c>
      <c r="K77" s="54">
        <f t="shared" si="13"/>
        <v>10560</v>
      </c>
      <c r="L77" s="54">
        <f t="shared" si="23"/>
        <v>10137.599999999999</v>
      </c>
      <c r="M77" s="69">
        <f t="shared" si="24"/>
        <v>56217.599999999999</v>
      </c>
    </row>
    <row r="78" spans="1:15" s="5" customFormat="1" ht="18.75" customHeight="1">
      <c r="A78" s="68"/>
      <c r="B78" s="1">
        <f t="shared" si="25"/>
        <v>5.0599999999999987</v>
      </c>
      <c r="C78" s="71" t="s">
        <v>198</v>
      </c>
      <c r="D78" s="1">
        <v>22</v>
      </c>
      <c r="E78" s="1" t="s">
        <v>197</v>
      </c>
      <c r="F78" s="70">
        <v>140</v>
      </c>
      <c r="G78" s="70">
        <v>40</v>
      </c>
      <c r="H78" s="70">
        <f t="shared" si="22"/>
        <v>39.6</v>
      </c>
      <c r="I78" s="54">
        <f t="shared" si="8"/>
        <v>219.6</v>
      </c>
      <c r="J78" s="54">
        <f t="shared" si="19"/>
        <v>3080</v>
      </c>
      <c r="K78" s="54">
        <f t="shared" si="13"/>
        <v>880</v>
      </c>
      <c r="L78" s="54">
        <f t="shared" si="23"/>
        <v>871.2</v>
      </c>
      <c r="M78" s="69">
        <f t="shared" si="24"/>
        <v>4831.2</v>
      </c>
    </row>
    <row r="79" spans="1:15" s="5" customFormat="1" ht="18.75" customHeight="1">
      <c r="A79" s="68"/>
      <c r="B79" s="1">
        <f t="shared" si="25"/>
        <v>5.0699999999999985</v>
      </c>
      <c r="C79" s="71" t="s">
        <v>199</v>
      </c>
      <c r="D79" s="1">
        <v>71</v>
      </c>
      <c r="E79" s="1" t="s">
        <v>197</v>
      </c>
      <c r="F79" s="70">
        <v>150</v>
      </c>
      <c r="G79" s="70">
        <v>45</v>
      </c>
      <c r="H79" s="70">
        <f t="shared" si="22"/>
        <v>42.9</v>
      </c>
      <c r="I79" s="54">
        <f t="shared" si="8"/>
        <v>237.9</v>
      </c>
      <c r="J79" s="54">
        <f t="shared" si="19"/>
        <v>10650</v>
      </c>
      <c r="K79" s="54">
        <f t="shared" si="13"/>
        <v>3195</v>
      </c>
      <c r="L79" s="54">
        <f t="shared" si="23"/>
        <v>3045.9</v>
      </c>
      <c r="M79" s="69">
        <f t="shared" si="24"/>
        <v>16890.900000000001</v>
      </c>
    </row>
    <row r="80" spans="1:15" s="5" customFormat="1" ht="18.75" customHeight="1">
      <c r="A80" s="68"/>
      <c r="B80" s="1">
        <f t="shared" si="25"/>
        <v>5.0799999999999983</v>
      </c>
      <c r="C80" s="71" t="s">
        <v>204</v>
      </c>
      <c r="D80" s="1">
        <v>700</v>
      </c>
      <c r="E80" s="1" t="s">
        <v>197</v>
      </c>
      <c r="F80" s="70">
        <v>0.8</v>
      </c>
      <c r="G80" s="70">
        <v>0.25</v>
      </c>
      <c r="H80" s="70">
        <f t="shared" si="22"/>
        <v>0.23100000000000001</v>
      </c>
      <c r="I80" s="54">
        <f t="shared" si="8"/>
        <v>1.2810000000000001</v>
      </c>
      <c r="J80" s="54">
        <f t="shared" si="19"/>
        <v>560</v>
      </c>
      <c r="K80" s="54">
        <f t="shared" si="13"/>
        <v>175</v>
      </c>
      <c r="L80" s="54">
        <f t="shared" si="23"/>
        <v>161.70000000000002</v>
      </c>
      <c r="M80" s="69">
        <f t="shared" si="24"/>
        <v>896.7</v>
      </c>
    </row>
    <row r="81" spans="1:15" s="5" customFormat="1" ht="18.75" customHeight="1">
      <c r="A81" s="68"/>
      <c r="B81" s="1">
        <f t="shared" si="25"/>
        <v>5.0899999999999981</v>
      </c>
      <c r="C81" s="71" t="s">
        <v>203</v>
      </c>
      <c r="D81" s="1">
        <v>1800</v>
      </c>
      <c r="E81" s="1" t="s">
        <v>197</v>
      </c>
      <c r="F81" s="70">
        <v>1.4</v>
      </c>
      <c r="G81" s="70">
        <v>0.4</v>
      </c>
      <c r="H81" s="70">
        <f t="shared" si="22"/>
        <v>0.39599999999999996</v>
      </c>
      <c r="I81" s="54">
        <f t="shared" si="8"/>
        <v>2.1959999999999997</v>
      </c>
      <c r="J81" s="54">
        <f t="shared" si="19"/>
        <v>2520</v>
      </c>
      <c r="K81" s="54">
        <f t="shared" si="13"/>
        <v>720</v>
      </c>
      <c r="L81" s="54">
        <f t="shared" si="23"/>
        <v>712.8</v>
      </c>
      <c r="M81" s="69">
        <f t="shared" si="24"/>
        <v>3952.8</v>
      </c>
    </row>
    <row r="82" spans="1:15" s="5" customFormat="1" ht="18.75" customHeight="1">
      <c r="A82" s="68"/>
      <c r="B82" s="1">
        <f t="shared" si="25"/>
        <v>5.0999999999999979</v>
      </c>
      <c r="C82" s="71" t="s">
        <v>205</v>
      </c>
      <c r="D82" s="1">
        <v>2.5</v>
      </c>
      <c r="E82" s="1" t="s">
        <v>105</v>
      </c>
      <c r="F82" s="70">
        <v>95</v>
      </c>
      <c r="G82" s="70">
        <v>25</v>
      </c>
      <c r="H82" s="70">
        <f t="shared" si="22"/>
        <v>26.4</v>
      </c>
      <c r="I82" s="54">
        <f t="shared" si="8"/>
        <v>146.4</v>
      </c>
      <c r="J82" s="54">
        <f t="shared" si="19"/>
        <v>237.5</v>
      </c>
      <c r="K82" s="54">
        <f t="shared" si="13"/>
        <v>62.5</v>
      </c>
      <c r="L82" s="54">
        <f t="shared" si="23"/>
        <v>66</v>
      </c>
      <c r="M82" s="69">
        <f t="shared" si="24"/>
        <v>366</v>
      </c>
    </row>
    <row r="83" spans="1:15" s="5" customFormat="1" ht="18.75" customHeight="1">
      <c r="A83" s="68"/>
      <c r="B83" s="1"/>
      <c r="C83" s="71"/>
      <c r="D83" s="1"/>
      <c r="E83" s="1"/>
      <c r="G83" s="82"/>
      <c r="H83" s="82"/>
      <c r="I83" s="54"/>
      <c r="J83" s="54"/>
      <c r="K83" s="54"/>
      <c r="L83" s="82" t="s">
        <v>208</v>
      </c>
      <c r="M83" s="81">
        <f>SUM(M73:M82)</f>
        <v>111661.72</v>
      </c>
      <c r="N83" s="75"/>
      <c r="O83" s="72">
        <f>M83</f>
        <v>111661.72</v>
      </c>
    </row>
    <row r="84" spans="1:15" s="11" customFormat="1" ht="18.75" customHeight="1">
      <c r="A84" s="85">
        <v>6</v>
      </c>
      <c r="B84" s="74"/>
      <c r="C84" s="57" t="s">
        <v>242</v>
      </c>
      <c r="D84" s="1"/>
      <c r="E84" s="1"/>
      <c r="F84" s="54"/>
      <c r="G84" s="54"/>
      <c r="H84" s="54"/>
      <c r="I84" s="54"/>
      <c r="J84" s="54"/>
      <c r="K84" s="54"/>
      <c r="L84" s="54"/>
      <c r="M84" s="69"/>
      <c r="O84" s="15"/>
    </row>
    <row r="85" spans="1:15" s="5" customFormat="1" ht="18.75" customHeight="1">
      <c r="A85" s="68"/>
      <c r="B85" s="1">
        <v>6.01</v>
      </c>
      <c r="C85" s="67" t="s">
        <v>257</v>
      </c>
      <c r="D85" s="1">
        <v>1</v>
      </c>
      <c r="E85" s="1" t="s">
        <v>5</v>
      </c>
      <c r="F85" s="70">
        <v>0</v>
      </c>
      <c r="G85" s="70">
        <v>1500</v>
      </c>
      <c r="H85" s="70">
        <f>0.22*(F85+G85)</f>
        <v>330</v>
      </c>
      <c r="I85" s="54">
        <f>SUM(F85:H85)</f>
        <v>1830</v>
      </c>
      <c r="J85" s="54">
        <f>D85*F85</f>
        <v>0</v>
      </c>
      <c r="K85" s="54">
        <f>D85*G85</f>
        <v>1500</v>
      </c>
      <c r="L85" s="54">
        <f>D85*H85</f>
        <v>330</v>
      </c>
      <c r="M85" s="69">
        <f>SUM(J85:L85)</f>
        <v>1830</v>
      </c>
    </row>
    <row r="86" spans="1:15" s="5" customFormat="1" ht="18.75" customHeight="1">
      <c r="A86" s="68"/>
      <c r="B86" s="1">
        <v>6.02</v>
      </c>
      <c r="C86" s="67" t="s">
        <v>256</v>
      </c>
      <c r="D86" s="1">
        <v>1</v>
      </c>
      <c r="E86" s="1" t="s">
        <v>5</v>
      </c>
      <c r="F86" s="70">
        <v>4000</v>
      </c>
      <c r="G86" s="70">
        <v>1800</v>
      </c>
      <c r="H86" s="70">
        <f>0.22*(F86+G86)</f>
        <v>1276</v>
      </c>
      <c r="I86" s="54">
        <f>SUM(F86:H86)</f>
        <v>7076</v>
      </c>
      <c r="J86" s="54">
        <f>D86*F86</f>
        <v>4000</v>
      </c>
      <c r="K86" s="54">
        <f>D86*G86</f>
        <v>1800</v>
      </c>
      <c r="L86" s="54">
        <f>D86*H86</f>
        <v>1276</v>
      </c>
      <c r="M86" s="69">
        <f>SUM(J86:L86)</f>
        <v>7076</v>
      </c>
    </row>
    <row r="87" spans="1:15" s="11" customFormat="1" ht="18.75" customHeight="1">
      <c r="A87" s="74"/>
      <c r="B87" s="1">
        <v>6.03</v>
      </c>
      <c r="C87" s="56" t="s">
        <v>265</v>
      </c>
      <c r="D87" s="1">
        <v>1</v>
      </c>
      <c r="E87" s="1" t="s">
        <v>5</v>
      </c>
      <c r="F87" s="54">
        <v>6000</v>
      </c>
      <c r="G87" s="54">
        <v>2400</v>
      </c>
      <c r="H87" s="70">
        <f>0.22*(F87+G87)</f>
        <v>1848</v>
      </c>
      <c r="I87" s="54">
        <f>SUM(F87:H87)</f>
        <v>10248</v>
      </c>
      <c r="J87" s="54">
        <f>D87*F87</f>
        <v>6000</v>
      </c>
      <c r="K87" s="54">
        <f>D87*G87</f>
        <v>2400</v>
      </c>
      <c r="L87" s="54">
        <f>D87*H87</f>
        <v>1848</v>
      </c>
      <c r="M87" s="69">
        <f>SUM(J87:L87)</f>
        <v>10248</v>
      </c>
    </row>
    <row r="88" spans="1:15" ht="18.75" customHeight="1">
      <c r="A88" s="1"/>
      <c r="B88" s="1"/>
      <c r="C88" s="53" t="s">
        <v>190</v>
      </c>
      <c r="D88" s="1"/>
      <c r="E88" s="1"/>
      <c r="G88" s="80"/>
      <c r="H88" s="80"/>
      <c r="I88" s="54"/>
      <c r="J88" s="54"/>
      <c r="K88" s="54"/>
      <c r="L88" s="80" t="s">
        <v>208</v>
      </c>
      <c r="M88" s="81">
        <f>SUM(M85:M87)</f>
        <v>19154</v>
      </c>
      <c r="O88" s="15">
        <f>M88</f>
        <v>19154</v>
      </c>
    </row>
    <row r="89" spans="1:15" s="11" customFormat="1" ht="18.75" customHeight="1">
      <c r="A89" s="85">
        <v>7</v>
      </c>
      <c r="B89" s="74"/>
      <c r="C89" s="57" t="s">
        <v>141</v>
      </c>
      <c r="D89" s="1"/>
      <c r="E89" s="1"/>
      <c r="F89" s="54"/>
      <c r="G89" s="54"/>
      <c r="H89" s="54"/>
      <c r="I89" s="54"/>
      <c r="J89" s="54"/>
      <c r="K89" s="54"/>
      <c r="L89" s="54"/>
      <c r="M89" s="69"/>
      <c r="O89" s="15"/>
    </row>
    <row r="90" spans="1:15" s="5" customFormat="1" ht="18.75" customHeight="1">
      <c r="A90" s="68"/>
      <c r="B90" s="1">
        <v>7.01</v>
      </c>
      <c r="C90" s="94" t="s">
        <v>276</v>
      </c>
      <c r="D90" s="95">
        <v>70</v>
      </c>
      <c r="E90" s="1" t="s">
        <v>98</v>
      </c>
      <c r="F90" s="70">
        <v>3700</v>
      </c>
      <c r="G90" s="70">
        <v>1500</v>
      </c>
      <c r="H90" s="70">
        <f>0.22*(F90+G90)</f>
        <v>1144</v>
      </c>
      <c r="I90" s="54">
        <f>SUM(F90:H90)</f>
        <v>6344</v>
      </c>
      <c r="J90" s="54">
        <f t="shared" si="19"/>
        <v>259000</v>
      </c>
      <c r="K90" s="54">
        <f t="shared" si="13"/>
        <v>105000</v>
      </c>
      <c r="L90" s="54">
        <f t="shared" si="14"/>
        <v>80080</v>
      </c>
      <c r="M90" s="69">
        <f t="shared" ref="M90:M100" si="26">SUM(J90:L90)</f>
        <v>444080</v>
      </c>
    </row>
    <row r="91" spans="1:15" s="5" customFormat="1" ht="18.75" customHeight="1">
      <c r="A91" s="68"/>
      <c r="B91" s="1">
        <v>7.01</v>
      </c>
      <c r="C91" s="94" t="s">
        <v>290</v>
      </c>
      <c r="D91" s="95">
        <v>70</v>
      </c>
      <c r="E91" s="1" t="s">
        <v>98</v>
      </c>
      <c r="F91" s="70">
        <v>3700</v>
      </c>
      <c r="G91" s="70">
        <v>1500</v>
      </c>
      <c r="H91" s="70">
        <f>0.22*(F91+G91)</f>
        <v>1144</v>
      </c>
      <c r="I91" s="54">
        <f>SUM(F91:H91)</f>
        <v>6344</v>
      </c>
      <c r="J91" s="54">
        <f>D91*F91</f>
        <v>259000</v>
      </c>
      <c r="K91" s="54">
        <f>D91*G91</f>
        <v>105000</v>
      </c>
      <c r="L91" s="54">
        <f>D91*H91</f>
        <v>80080</v>
      </c>
      <c r="M91" s="69">
        <f t="shared" si="26"/>
        <v>444080</v>
      </c>
    </row>
    <row r="92" spans="1:15" ht="18.75" customHeight="1">
      <c r="A92" s="1"/>
      <c r="B92" s="1">
        <f>B90+0.01</f>
        <v>7.02</v>
      </c>
      <c r="C92" s="96" t="s">
        <v>212</v>
      </c>
      <c r="D92" s="95">
        <v>8</v>
      </c>
      <c r="E92" s="1" t="s">
        <v>197</v>
      </c>
      <c r="F92" s="54">
        <v>200</v>
      </c>
      <c r="G92" s="54">
        <v>80</v>
      </c>
      <c r="H92" s="70">
        <f t="shared" ref="H92:H100" si="27">0.22*(F92+G92)</f>
        <v>61.6</v>
      </c>
      <c r="I92" s="54">
        <f t="shared" si="8"/>
        <v>341.6</v>
      </c>
      <c r="J92" s="54">
        <f t="shared" si="19"/>
        <v>1600</v>
      </c>
      <c r="K92" s="54">
        <f t="shared" si="13"/>
        <v>640</v>
      </c>
      <c r="L92" s="54">
        <f t="shared" si="14"/>
        <v>492.8</v>
      </c>
      <c r="M92" s="69">
        <f t="shared" si="26"/>
        <v>2732.8</v>
      </c>
    </row>
    <row r="93" spans="1:15" s="5" customFormat="1" ht="18.75" customHeight="1">
      <c r="A93" s="68"/>
      <c r="B93" s="1">
        <f t="shared" ref="B93:B100" si="28">B92+0.01</f>
        <v>7.0299999999999994</v>
      </c>
      <c r="C93" s="94" t="s">
        <v>291</v>
      </c>
      <c r="D93" s="95">
        <v>20</v>
      </c>
      <c r="E93" s="1" t="s">
        <v>197</v>
      </c>
      <c r="F93" s="70">
        <v>80</v>
      </c>
      <c r="G93" s="70">
        <v>32</v>
      </c>
      <c r="H93" s="70">
        <f t="shared" si="27"/>
        <v>24.64</v>
      </c>
      <c r="I93" s="54">
        <f t="shared" si="8"/>
        <v>136.63999999999999</v>
      </c>
      <c r="J93" s="54">
        <f t="shared" si="19"/>
        <v>1600</v>
      </c>
      <c r="K93" s="54">
        <f t="shared" si="13"/>
        <v>640</v>
      </c>
      <c r="L93" s="54">
        <f t="shared" si="14"/>
        <v>492.8</v>
      </c>
      <c r="M93" s="69">
        <f t="shared" si="26"/>
        <v>2732.8</v>
      </c>
    </row>
    <row r="94" spans="1:15" s="5" customFormat="1" ht="18.75" customHeight="1">
      <c r="A94" s="68"/>
      <c r="B94" s="1">
        <f t="shared" si="28"/>
        <v>7.0399999999999991</v>
      </c>
      <c r="C94" s="94" t="s">
        <v>292</v>
      </c>
      <c r="D94" s="95">
        <v>10</v>
      </c>
      <c r="E94" s="1" t="s">
        <v>197</v>
      </c>
      <c r="F94" s="70">
        <v>10</v>
      </c>
      <c r="G94" s="70">
        <v>4</v>
      </c>
      <c r="H94" s="70">
        <f t="shared" si="27"/>
        <v>3.08</v>
      </c>
      <c r="I94" s="54">
        <f>SUM(F94:H94)</f>
        <v>17.079999999999998</v>
      </c>
      <c r="J94" s="54">
        <f t="shared" si="19"/>
        <v>100</v>
      </c>
      <c r="K94" s="54">
        <f t="shared" si="13"/>
        <v>40</v>
      </c>
      <c r="L94" s="54">
        <f t="shared" si="14"/>
        <v>30.8</v>
      </c>
      <c r="M94" s="69">
        <f t="shared" si="26"/>
        <v>170.8</v>
      </c>
    </row>
    <row r="95" spans="1:15" s="5" customFormat="1" ht="18.75" customHeight="1">
      <c r="A95" s="68"/>
      <c r="B95" s="1">
        <f t="shared" si="28"/>
        <v>7.0499999999999989</v>
      </c>
      <c r="C95" s="94" t="s">
        <v>293</v>
      </c>
      <c r="D95" s="95">
        <v>3</v>
      </c>
      <c r="E95" s="1" t="s">
        <v>197</v>
      </c>
      <c r="F95" s="70">
        <v>20</v>
      </c>
      <c r="G95" s="70">
        <v>8</v>
      </c>
      <c r="H95" s="70">
        <f t="shared" si="27"/>
        <v>6.16</v>
      </c>
      <c r="I95" s="54">
        <f>SUM(F95:H95)</f>
        <v>34.159999999999997</v>
      </c>
      <c r="J95" s="54">
        <f t="shared" si="19"/>
        <v>60</v>
      </c>
      <c r="K95" s="54">
        <f t="shared" si="13"/>
        <v>24</v>
      </c>
      <c r="L95" s="54">
        <f t="shared" si="14"/>
        <v>18.48</v>
      </c>
      <c r="M95" s="69">
        <f t="shared" si="26"/>
        <v>102.48</v>
      </c>
    </row>
    <row r="96" spans="1:15" ht="18.75" customHeight="1">
      <c r="A96" s="1"/>
      <c r="B96" s="1">
        <f t="shared" si="28"/>
        <v>7.0599999999999987</v>
      </c>
      <c r="C96" s="96" t="s">
        <v>213</v>
      </c>
      <c r="D96" s="95">
        <v>9</v>
      </c>
      <c r="E96" s="1" t="s">
        <v>197</v>
      </c>
      <c r="F96" s="54">
        <v>25</v>
      </c>
      <c r="G96" s="54">
        <v>10</v>
      </c>
      <c r="H96" s="70">
        <f t="shared" si="27"/>
        <v>7.7</v>
      </c>
      <c r="I96" s="54">
        <f t="shared" si="8"/>
        <v>42.7</v>
      </c>
      <c r="J96" s="54">
        <f t="shared" si="19"/>
        <v>225</v>
      </c>
      <c r="K96" s="54">
        <f t="shared" si="13"/>
        <v>90</v>
      </c>
      <c r="L96" s="54">
        <f t="shared" si="14"/>
        <v>69.3</v>
      </c>
      <c r="M96" s="69">
        <f t="shared" si="26"/>
        <v>384.3</v>
      </c>
    </row>
    <row r="97" spans="1:15" ht="18.75" customHeight="1">
      <c r="A97" s="1"/>
      <c r="B97" s="1">
        <f t="shared" si="28"/>
        <v>7.0699999999999985</v>
      </c>
      <c r="C97" s="96" t="s">
        <v>278</v>
      </c>
      <c r="D97" s="95">
        <v>9</v>
      </c>
      <c r="E97" s="1" t="s">
        <v>197</v>
      </c>
      <c r="F97" s="54">
        <v>30</v>
      </c>
      <c r="G97" s="54">
        <v>12</v>
      </c>
      <c r="H97" s="70">
        <f t="shared" si="27"/>
        <v>9.24</v>
      </c>
      <c r="I97" s="54">
        <f t="shared" si="8"/>
        <v>51.24</v>
      </c>
      <c r="J97" s="54">
        <f t="shared" si="19"/>
        <v>270</v>
      </c>
      <c r="K97" s="54">
        <f t="shared" si="13"/>
        <v>108</v>
      </c>
      <c r="L97" s="54">
        <f t="shared" si="14"/>
        <v>83.16</v>
      </c>
      <c r="M97" s="69">
        <f t="shared" si="26"/>
        <v>461.15999999999997</v>
      </c>
    </row>
    <row r="98" spans="1:15" ht="18.75" customHeight="1">
      <c r="A98" s="1"/>
      <c r="B98" s="1">
        <f t="shared" si="28"/>
        <v>7.0799999999999983</v>
      </c>
      <c r="C98" s="96" t="s">
        <v>211</v>
      </c>
      <c r="D98" s="95">
        <v>10</v>
      </c>
      <c r="E98" s="1" t="s">
        <v>197</v>
      </c>
      <c r="F98" s="54">
        <v>30</v>
      </c>
      <c r="G98" s="54">
        <v>12</v>
      </c>
      <c r="H98" s="70">
        <f t="shared" si="27"/>
        <v>9.24</v>
      </c>
      <c r="I98" s="54">
        <f t="shared" si="8"/>
        <v>51.24</v>
      </c>
      <c r="J98" s="54">
        <f t="shared" si="19"/>
        <v>300</v>
      </c>
      <c r="K98" s="54">
        <f t="shared" si="13"/>
        <v>120</v>
      </c>
      <c r="L98" s="54">
        <f t="shared" si="14"/>
        <v>92.4</v>
      </c>
      <c r="M98" s="69">
        <f t="shared" si="26"/>
        <v>512.4</v>
      </c>
    </row>
    <row r="99" spans="1:15" ht="18.75" customHeight="1">
      <c r="A99" s="1"/>
      <c r="B99" s="1">
        <f t="shared" si="28"/>
        <v>7.0899999999999981</v>
      </c>
      <c r="C99" s="96" t="s">
        <v>263</v>
      </c>
      <c r="D99" s="95">
        <v>1</v>
      </c>
      <c r="E99" s="1" t="s">
        <v>197</v>
      </c>
      <c r="F99" s="54">
        <v>120</v>
      </c>
      <c r="G99" s="54">
        <v>50</v>
      </c>
      <c r="H99" s="70">
        <f t="shared" si="27"/>
        <v>37.4</v>
      </c>
      <c r="I99" s="54">
        <f t="shared" si="8"/>
        <v>207.4</v>
      </c>
      <c r="J99" s="54">
        <f t="shared" si="19"/>
        <v>120</v>
      </c>
      <c r="K99" s="54">
        <f t="shared" si="13"/>
        <v>50</v>
      </c>
      <c r="L99" s="54">
        <f t="shared" si="14"/>
        <v>37.4</v>
      </c>
      <c r="M99" s="69">
        <f t="shared" si="26"/>
        <v>207.4</v>
      </c>
    </row>
    <row r="100" spans="1:15" s="6" customFormat="1" ht="18.75" customHeight="1">
      <c r="A100" s="1"/>
      <c r="B100" s="1">
        <f t="shared" si="28"/>
        <v>7.0999999999999979</v>
      </c>
      <c r="C100" s="96" t="s">
        <v>280</v>
      </c>
      <c r="D100" s="95">
        <v>1</v>
      </c>
      <c r="E100" s="1" t="s">
        <v>5</v>
      </c>
      <c r="F100" s="54">
        <v>600</v>
      </c>
      <c r="G100" s="54">
        <v>240</v>
      </c>
      <c r="H100" s="70">
        <f t="shared" si="27"/>
        <v>184.8</v>
      </c>
      <c r="I100" s="54">
        <f t="shared" si="8"/>
        <v>1024.8</v>
      </c>
      <c r="J100" s="54">
        <f>D100*F100</f>
        <v>600</v>
      </c>
      <c r="K100" s="54">
        <f>D100*G100</f>
        <v>240</v>
      </c>
      <c r="L100" s="54">
        <f>D100*H100</f>
        <v>184.8</v>
      </c>
      <c r="M100" s="69">
        <f t="shared" si="26"/>
        <v>1024.8</v>
      </c>
    </row>
    <row r="101" spans="1:15" ht="18.75" customHeight="1">
      <c r="A101" s="1"/>
      <c r="B101" s="1"/>
      <c r="C101" s="53" t="s">
        <v>190</v>
      </c>
      <c r="D101" s="1"/>
      <c r="E101" s="1"/>
      <c r="G101" s="80"/>
      <c r="H101" s="80"/>
      <c r="I101" s="54"/>
      <c r="J101" s="54"/>
      <c r="K101" s="54"/>
      <c r="L101" s="80" t="s">
        <v>208</v>
      </c>
      <c r="M101" s="81">
        <f>SUM(M90:M100)</f>
        <v>896488.94000000029</v>
      </c>
      <c r="O101" s="15">
        <f>M101</f>
        <v>896488.94000000029</v>
      </c>
    </row>
    <row r="102" spans="1:15" s="11" customFormat="1" ht="18.75" customHeight="1">
      <c r="A102" s="85">
        <v>7</v>
      </c>
      <c r="B102" s="74"/>
      <c r="C102" s="57" t="s">
        <v>241</v>
      </c>
      <c r="D102" s="1"/>
      <c r="E102" s="1"/>
      <c r="F102" s="54"/>
      <c r="G102" s="54"/>
      <c r="H102" s="54"/>
      <c r="I102" s="54"/>
      <c r="J102" s="54"/>
      <c r="K102" s="54"/>
      <c r="L102" s="54"/>
      <c r="M102" s="69"/>
      <c r="O102" s="15"/>
    </row>
    <row r="103" spans="1:15" s="11" customFormat="1" ht="18.75" customHeight="1">
      <c r="A103" s="85"/>
      <c r="B103" s="74"/>
      <c r="C103" s="53" t="s">
        <v>243</v>
      </c>
      <c r="D103" s="1"/>
      <c r="E103" s="1"/>
      <c r="F103" s="54"/>
      <c r="G103" s="54"/>
      <c r="H103" s="54"/>
      <c r="I103" s="54"/>
      <c r="J103" s="54"/>
      <c r="K103" s="54"/>
      <c r="L103" s="54"/>
      <c r="M103" s="69"/>
      <c r="O103" s="15"/>
    </row>
    <row r="104" spans="1:15" s="5" customFormat="1" ht="18.75" customHeight="1">
      <c r="A104" s="68"/>
      <c r="B104" s="1">
        <v>7.01</v>
      </c>
      <c r="C104" s="71" t="s">
        <v>152</v>
      </c>
      <c r="D104" s="1">
        <v>2</v>
      </c>
      <c r="E104" s="1" t="s">
        <v>1</v>
      </c>
      <c r="F104" s="70">
        <v>1200</v>
      </c>
      <c r="G104" s="70">
        <v>480</v>
      </c>
      <c r="H104" s="70">
        <f>0.22*(F104+G104)</f>
        <v>369.6</v>
      </c>
      <c r="I104" s="54">
        <f t="shared" si="8"/>
        <v>2049.6</v>
      </c>
      <c r="J104" s="54">
        <f t="shared" si="19"/>
        <v>2400</v>
      </c>
      <c r="K104" s="54">
        <f t="shared" si="13"/>
        <v>960</v>
      </c>
      <c r="L104" s="54">
        <f t="shared" si="14"/>
        <v>739.2</v>
      </c>
      <c r="M104" s="69">
        <f>SUM(J104:L104)</f>
        <v>4099.2</v>
      </c>
    </row>
    <row r="105" spans="1:15" ht="18.75" customHeight="1">
      <c r="A105" s="1"/>
      <c r="B105" s="1">
        <f>B104+0.01</f>
        <v>7.02</v>
      </c>
      <c r="C105" s="76" t="s">
        <v>247</v>
      </c>
      <c r="D105" s="1">
        <v>2</v>
      </c>
      <c r="E105" s="1" t="s">
        <v>1</v>
      </c>
      <c r="F105" s="54">
        <v>400</v>
      </c>
      <c r="G105" s="54">
        <v>160</v>
      </c>
      <c r="H105" s="70">
        <f t="shared" ref="H105:H118" si="29">0.22*(F105+G105)</f>
        <v>123.2</v>
      </c>
      <c r="I105" s="54">
        <f t="shared" si="8"/>
        <v>683.2</v>
      </c>
      <c r="J105" s="54">
        <f t="shared" si="19"/>
        <v>800</v>
      </c>
      <c r="K105" s="54">
        <f t="shared" si="13"/>
        <v>320</v>
      </c>
      <c r="L105" s="54">
        <f t="shared" si="14"/>
        <v>246.4</v>
      </c>
      <c r="M105" s="69">
        <f t="shared" ref="M105:M118" si="30">SUM(J105:L105)</f>
        <v>1366.4</v>
      </c>
    </row>
    <row r="106" spans="1:15" ht="18.75" customHeight="1">
      <c r="A106" s="1"/>
      <c r="B106" s="1"/>
      <c r="C106" s="53" t="s">
        <v>244</v>
      </c>
      <c r="D106" s="1"/>
      <c r="E106" s="1"/>
      <c r="F106" s="54"/>
      <c r="G106" s="54"/>
      <c r="H106" s="70"/>
      <c r="I106" s="54"/>
      <c r="J106" s="54"/>
      <c r="K106" s="54"/>
      <c r="L106" s="54"/>
      <c r="M106" s="69"/>
    </row>
    <row r="107" spans="1:15" ht="18.75" customHeight="1">
      <c r="A107" s="1"/>
      <c r="B107" s="1">
        <f>B105+0.01</f>
        <v>7.0299999999999994</v>
      </c>
      <c r="C107" s="76" t="s">
        <v>250</v>
      </c>
      <c r="D107" s="1">
        <v>2</v>
      </c>
      <c r="E107" s="1" t="s">
        <v>197</v>
      </c>
      <c r="F107" s="54">
        <v>250</v>
      </c>
      <c r="G107" s="54">
        <v>100</v>
      </c>
      <c r="H107" s="70">
        <f t="shared" si="29"/>
        <v>77</v>
      </c>
      <c r="I107" s="54">
        <f t="shared" si="8"/>
        <v>427</v>
      </c>
      <c r="J107" s="54">
        <f t="shared" si="19"/>
        <v>500</v>
      </c>
      <c r="K107" s="54">
        <f t="shared" si="13"/>
        <v>200</v>
      </c>
      <c r="L107" s="54">
        <f t="shared" si="14"/>
        <v>154</v>
      </c>
      <c r="M107" s="69">
        <f t="shared" si="30"/>
        <v>854</v>
      </c>
    </row>
    <row r="108" spans="1:15" ht="18.75" customHeight="1">
      <c r="A108" s="1"/>
      <c r="B108" s="1">
        <f>B107+0.01</f>
        <v>7.0399999999999991</v>
      </c>
      <c r="C108" s="76" t="s">
        <v>245</v>
      </c>
      <c r="D108" s="1">
        <v>2</v>
      </c>
      <c r="E108" s="1" t="s">
        <v>197</v>
      </c>
      <c r="F108" s="54">
        <v>50</v>
      </c>
      <c r="G108" s="54">
        <v>20</v>
      </c>
      <c r="H108" s="70">
        <f t="shared" si="29"/>
        <v>15.4</v>
      </c>
      <c r="I108" s="54">
        <f t="shared" si="8"/>
        <v>85.4</v>
      </c>
      <c r="J108" s="54">
        <f t="shared" si="19"/>
        <v>100</v>
      </c>
      <c r="K108" s="54">
        <f t="shared" si="13"/>
        <v>40</v>
      </c>
      <c r="L108" s="54">
        <f t="shared" si="14"/>
        <v>30.8</v>
      </c>
      <c r="M108" s="69">
        <f t="shared" si="30"/>
        <v>170.8</v>
      </c>
    </row>
    <row r="109" spans="1:15" ht="18.75" customHeight="1">
      <c r="A109" s="1"/>
      <c r="B109" s="1">
        <f>B108+0.01</f>
        <v>7.0499999999999989</v>
      </c>
      <c r="C109" s="76" t="s">
        <v>246</v>
      </c>
      <c r="D109" s="1">
        <v>5</v>
      </c>
      <c r="E109" s="1" t="s">
        <v>197</v>
      </c>
      <c r="F109" s="54">
        <v>30</v>
      </c>
      <c r="G109" s="54">
        <v>12</v>
      </c>
      <c r="H109" s="70">
        <f t="shared" si="29"/>
        <v>9.24</v>
      </c>
      <c r="I109" s="54">
        <f t="shared" si="8"/>
        <v>51.24</v>
      </c>
      <c r="J109" s="54">
        <f t="shared" si="19"/>
        <v>150</v>
      </c>
      <c r="K109" s="54">
        <f t="shared" si="13"/>
        <v>60</v>
      </c>
      <c r="L109" s="54">
        <f t="shared" si="14"/>
        <v>46.2</v>
      </c>
      <c r="M109" s="69">
        <f t="shared" si="30"/>
        <v>256.2</v>
      </c>
    </row>
    <row r="110" spans="1:15" ht="18.75" customHeight="1">
      <c r="A110" s="1"/>
      <c r="B110" s="1">
        <f>B109+0.01</f>
        <v>7.0599999999999987</v>
      </c>
      <c r="C110" s="76" t="s">
        <v>248</v>
      </c>
      <c r="D110" s="1">
        <v>3</v>
      </c>
      <c r="E110" s="1" t="s">
        <v>197</v>
      </c>
      <c r="F110" s="54">
        <v>50</v>
      </c>
      <c r="G110" s="54">
        <v>20</v>
      </c>
      <c r="H110" s="70">
        <f t="shared" si="29"/>
        <v>15.4</v>
      </c>
      <c r="I110" s="54">
        <f t="shared" si="8"/>
        <v>85.4</v>
      </c>
      <c r="J110" s="54">
        <f t="shared" si="19"/>
        <v>150</v>
      </c>
      <c r="K110" s="54">
        <f t="shared" si="13"/>
        <v>60</v>
      </c>
      <c r="L110" s="54">
        <f t="shared" si="14"/>
        <v>46.2</v>
      </c>
      <c r="M110" s="69">
        <f t="shared" si="30"/>
        <v>256.2</v>
      </c>
    </row>
    <row r="111" spans="1:15" ht="18.75" customHeight="1">
      <c r="A111" s="1"/>
      <c r="B111" s="1">
        <f>B110+0.01</f>
        <v>7.0699999999999985</v>
      </c>
      <c r="C111" s="76" t="s">
        <v>249</v>
      </c>
      <c r="D111" s="1">
        <v>1</v>
      </c>
      <c r="E111" s="1" t="s">
        <v>197</v>
      </c>
      <c r="F111" s="54">
        <v>30</v>
      </c>
      <c r="G111" s="54">
        <v>12</v>
      </c>
      <c r="H111" s="70">
        <f t="shared" si="29"/>
        <v>9.24</v>
      </c>
      <c r="I111" s="54">
        <f t="shared" si="8"/>
        <v>51.24</v>
      </c>
      <c r="J111" s="54">
        <f t="shared" si="19"/>
        <v>30</v>
      </c>
      <c r="K111" s="54">
        <f t="shared" si="13"/>
        <v>12</v>
      </c>
      <c r="L111" s="54">
        <f t="shared" si="14"/>
        <v>9.24</v>
      </c>
      <c r="M111" s="69">
        <f t="shared" si="30"/>
        <v>51.24</v>
      </c>
    </row>
    <row r="112" spans="1:15" ht="18.75" customHeight="1">
      <c r="A112" s="1"/>
      <c r="B112" s="1">
        <f>B111+0.01</f>
        <v>7.0799999999999983</v>
      </c>
      <c r="C112" s="76" t="s">
        <v>263</v>
      </c>
      <c r="D112" s="1">
        <v>1</v>
      </c>
      <c r="E112" s="1" t="s">
        <v>197</v>
      </c>
      <c r="F112" s="54">
        <v>120</v>
      </c>
      <c r="G112" s="54">
        <v>50</v>
      </c>
      <c r="H112" s="70">
        <f t="shared" si="29"/>
        <v>37.4</v>
      </c>
      <c r="I112" s="54">
        <f t="shared" si="8"/>
        <v>207.4</v>
      </c>
      <c r="J112" s="54">
        <f t="shared" si="19"/>
        <v>120</v>
      </c>
      <c r="K112" s="54">
        <f t="shared" si="13"/>
        <v>50</v>
      </c>
      <c r="L112" s="54">
        <f t="shared" si="14"/>
        <v>37.4</v>
      </c>
      <c r="M112" s="69">
        <f t="shared" si="30"/>
        <v>207.4</v>
      </c>
    </row>
    <row r="113" spans="1:17" ht="18.75" customHeight="1">
      <c r="A113" s="1"/>
      <c r="B113" s="1"/>
      <c r="C113" s="56" t="s">
        <v>251</v>
      </c>
      <c r="D113" s="1"/>
      <c r="E113" s="1"/>
      <c r="F113" s="54"/>
      <c r="G113" s="80"/>
      <c r="H113" s="70"/>
      <c r="I113" s="54"/>
      <c r="J113" s="54"/>
      <c r="K113" s="54"/>
      <c r="L113" s="54"/>
      <c r="M113" s="69"/>
    </row>
    <row r="114" spans="1:17" ht="18.75" customHeight="1">
      <c r="A114" s="1"/>
      <c r="B114" s="1">
        <f>B112+0.01</f>
        <v>7.0899999999999981</v>
      </c>
      <c r="C114" s="76" t="s">
        <v>252</v>
      </c>
      <c r="D114" s="1">
        <v>2</v>
      </c>
      <c r="E114" s="1" t="s">
        <v>197</v>
      </c>
      <c r="F114" s="90">
        <v>250</v>
      </c>
      <c r="G114" s="54">
        <v>100</v>
      </c>
      <c r="H114" s="70">
        <f t="shared" si="29"/>
        <v>77</v>
      </c>
      <c r="I114" s="54">
        <f t="shared" si="8"/>
        <v>427</v>
      </c>
      <c r="J114" s="54">
        <f t="shared" si="19"/>
        <v>500</v>
      </c>
      <c r="K114" s="54">
        <f t="shared" si="13"/>
        <v>200</v>
      </c>
      <c r="L114" s="54">
        <f t="shared" si="14"/>
        <v>154</v>
      </c>
      <c r="M114" s="69">
        <f t="shared" si="30"/>
        <v>854</v>
      </c>
      <c r="O114" s="15"/>
    </row>
    <row r="115" spans="1:17" ht="18.75" customHeight="1">
      <c r="A115" s="1"/>
      <c r="B115" s="1">
        <f>B114+0.01</f>
        <v>7.0999999999999979</v>
      </c>
      <c r="C115" s="76" t="s">
        <v>281</v>
      </c>
      <c r="D115" s="1">
        <v>1</v>
      </c>
      <c r="E115" s="1" t="s">
        <v>197</v>
      </c>
      <c r="F115" s="54">
        <v>60</v>
      </c>
      <c r="G115" s="54">
        <v>25</v>
      </c>
      <c r="H115" s="70">
        <f t="shared" si="29"/>
        <v>18.7</v>
      </c>
      <c r="I115" s="54">
        <f t="shared" si="8"/>
        <v>103.7</v>
      </c>
      <c r="J115" s="54">
        <f t="shared" si="19"/>
        <v>60</v>
      </c>
      <c r="K115" s="54">
        <f t="shared" si="13"/>
        <v>25</v>
      </c>
      <c r="L115" s="54">
        <f t="shared" si="14"/>
        <v>18.7</v>
      </c>
      <c r="M115" s="69">
        <f t="shared" si="30"/>
        <v>103.7</v>
      </c>
    </row>
    <row r="116" spans="1:17" ht="18.75" customHeight="1">
      <c r="A116" s="1"/>
      <c r="B116" s="1">
        <f>B115+0.01</f>
        <v>7.1099999999999977</v>
      </c>
      <c r="C116" s="76" t="s">
        <v>253</v>
      </c>
      <c r="D116" s="1">
        <v>1</v>
      </c>
      <c r="E116" s="1" t="s">
        <v>197</v>
      </c>
      <c r="F116" s="54">
        <v>12</v>
      </c>
      <c r="G116" s="54">
        <v>5</v>
      </c>
      <c r="H116" s="70">
        <f t="shared" si="29"/>
        <v>3.74</v>
      </c>
      <c r="I116" s="54">
        <f t="shared" si="8"/>
        <v>20.740000000000002</v>
      </c>
      <c r="J116" s="54">
        <f t="shared" si="19"/>
        <v>12</v>
      </c>
      <c r="K116" s="54">
        <f t="shared" si="13"/>
        <v>5</v>
      </c>
      <c r="L116" s="54">
        <f t="shared" si="14"/>
        <v>3.74</v>
      </c>
      <c r="M116" s="69">
        <f t="shared" si="30"/>
        <v>20.740000000000002</v>
      </c>
    </row>
    <row r="117" spans="1:17" ht="18.75" customHeight="1">
      <c r="A117" s="1"/>
      <c r="B117" s="1">
        <f>B116+0.01</f>
        <v>7.1199999999999974</v>
      </c>
      <c r="C117" s="76" t="s">
        <v>254</v>
      </c>
      <c r="D117" s="1">
        <v>3</v>
      </c>
      <c r="E117" s="1" t="s">
        <v>197</v>
      </c>
      <c r="F117" s="54">
        <v>8</v>
      </c>
      <c r="G117" s="54">
        <v>3</v>
      </c>
      <c r="H117" s="70">
        <f t="shared" si="29"/>
        <v>2.42</v>
      </c>
      <c r="I117" s="54">
        <f t="shared" si="8"/>
        <v>13.42</v>
      </c>
      <c r="J117" s="54">
        <f t="shared" si="19"/>
        <v>24</v>
      </c>
      <c r="K117" s="54">
        <f t="shared" si="13"/>
        <v>9</v>
      </c>
      <c r="L117" s="54">
        <f t="shared" si="14"/>
        <v>7.26</v>
      </c>
      <c r="M117" s="69">
        <f t="shared" si="30"/>
        <v>40.26</v>
      </c>
    </row>
    <row r="118" spans="1:17" ht="18.75" customHeight="1">
      <c r="A118" s="1"/>
      <c r="B118" s="1">
        <f>B117+0.01</f>
        <v>7.1299999999999972</v>
      </c>
      <c r="C118" s="76" t="s">
        <v>255</v>
      </c>
      <c r="D118" s="1">
        <v>2</v>
      </c>
      <c r="E118" s="1" t="s">
        <v>197</v>
      </c>
      <c r="F118" s="54">
        <v>12</v>
      </c>
      <c r="G118" s="54">
        <v>5</v>
      </c>
      <c r="H118" s="70">
        <f t="shared" si="29"/>
        <v>3.74</v>
      </c>
      <c r="I118" s="54">
        <f t="shared" si="8"/>
        <v>20.740000000000002</v>
      </c>
      <c r="J118" s="54">
        <f t="shared" si="19"/>
        <v>24</v>
      </c>
      <c r="K118" s="54">
        <f t="shared" si="13"/>
        <v>10</v>
      </c>
      <c r="L118" s="54">
        <f t="shared" si="14"/>
        <v>7.48</v>
      </c>
      <c r="M118" s="69">
        <f t="shared" si="30"/>
        <v>41.480000000000004</v>
      </c>
    </row>
    <row r="119" spans="1:17" ht="18.75" customHeight="1">
      <c r="A119" s="1"/>
      <c r="B119" s="1"/>
      <c r="C119" s="76"/>
      <c r="D119" s="1"/>
      <c r="E119" s="1"/>
      <c r="F119" s="87"/>
      <c r="G119" s="80"/>
      <c r="H119" s="80"/>
      <c r="I119" s="54"/>
      <c r="J119" s="54"/>
      <c r="K119" s="54"/>
      <c r="L119" s="80" t="s">
        <v>208</v>
      </c>
      <c r="M119" s="81">
        <f>SUM(M104:M118)</f>
        <v>8321.619999999999</v>
      </c>
      <c r="O119" s="15">
        <f>M119</f>
        <v>8321.619999999999</v>
      </c>
    </row>
    <row r="120" spans="1:17" s="11" customFormat="1" ht="18.75" customHeight="1">
      <c r="A120" s="85">
        <v>8</v>
      </c>
      <c r="B120" s="74"/>
      <c r="C120" s="57" t="s">
        <v>154</v>
      </c>
      <c r="D120" s="1"/>
      <c r="E120" s="1"/>
      <c r="F120" s="54"/>
      <c r="G120" s="54"/>
      <c r="H120" s="54"/>
      <c r="I120" s="54"/>
      <c r="J120" s="54"/>
      <c r="K120" s="54"/>
      <c r="L120" s="54"/>
      <c r="M120" s="69"/>
      <c r="O120" s="15"/>
    </row>
    <row r="121" spans="1:17" s="5" customFormat="1" ht="18.75" customHeight="1">
      <c r="A121" s="68"/>
      <c r="B121" s="1"/>
      <c r="C121" s="67" t="s">
        <v>285</v>
      </c>
      <c r="D121" s="1"/>
      <c r="E121" s="1"/>
      <c r="F121" s="70"/>
      <c r="G121" s="70"/>
      <c r="H121" s="70"/>
      <c r="I121" s="54"/>
      <c r="J121" s="54"/>
      <c r="K121" s="54"/>
      <c r="L121" s="54"/>
      <c r="M121" s="69"/>
    </row>
    <row r="122" spans="1:17" s="5" customFormat="1" ht="18.75" customHeight="1">
      <c r="A122" s="68"/>
      <c r="B122" s="1">
        <v>8.1</v>
      </c>
      <c r="C122" s="71" t="s">
        <v>178</v>
      </c>
      <c r="D122" s="1">
        <v>14</v>
      </c>
      <c r="E122" s="1" t="s">
        <v>136</v>
      </c>
      <c r="F122" s="70">
        <v>290</v>
      </c>
      <c r="G122" s="70">
        <v>175</v>
      </c>
      <c r="H122" s="70">
        <f>0.22*(F122+G122)</f>
        <v>102.3</v>
      </c>
      <c r="I122" s="54">
        <f t="shared" si="8"/>
        <v>567.29999999999995</v>
      </c>
      <c r="J122" s="54">
        <f t="shared" si="19"/>
        <v>4060</v>
      </c>
      <c r="K122" s="54">
        <f t="shared" si="13"/>
        <v>2450</v>
      </c>
      <c r="L122" s="54">
        <f t="shared" si="14"/>
        <v>1432.2</v>
      </c>
      <c r="M122" s="69">
        <f>SUM(J122:L122)</f>
        <v>7942.2</v>
      </c>
    </row>
    <row r="123" spans="1:17" s="5" customFormat="1" ht="18.75" customHeight="1">
      <c r="A123" s="68"/>
      <c r="B123" s="1">
        <f>B122+0.01</f>
        <v>8.11</v>
      </c>
      <c r="C123" s="71" t="s">
        <v>227</v>
      </c>
      <c r="D123" s="1">
        <v>22</v>
      </c>
      <c r="E123" s="1" t="s">
        <v>136</v>
      </c>
      <c r="F123" s="70">
        <v>800</v>
      </c>
      <c r="G123" s="70">
        <v>480</v>
      </c>
      <c r="H123" s="70">
        <f t="shared" ref="H123:H129" si="31">0.22*(F123+G123)</f>
        <v>281.60000000000002</v>
      </c>
      <c r="I123" s="54">
        <f t="shared" si="8"/>
        <v>1561.6</v>
      </c>
      <c r="J123" s="54">
        <f t="shared" si="19"/>
        <v>17600</v>
      </c>
      <c r="K123" s="54">
        <f t="shared" si="13"/>
        <v>10560</v>
      </c>
      <c r="L123" s="54">
        <f t="shared" si="14"/>
        <v>6195.2000000000007</v>
      </c>
      <c r="M123" s="69">
        <f>SUM(J123:L123)</f>
        <v>34355.199999999997</v>
      </c>
    </row>
    <row r="124" spans="1:17" s="5" customFormat="1" ht="18.75" customHeight="1">
      <c r="A124" s="68"/>
      <c r="B124" s="1">
        <f>B123+0.01</f>
        <v>8.1199999999999992</v>
      </c>
      <c r="C124" s="71" t="s">
        <v>179</v>
      </c>
      <c r="D124" s="1">
        <v>1</v>
      </c>
      <c r="E124" s="1" t="s">
        <v>5</v>
      </c>
      <c r="F124" s="70">
        <v>6000</v>
      </c>
      <c r="G124" s="70">
        <v>3600</v>
      </c>
      <c r="H124" s="70">
        <f t="shared" si="31"/>
        <v>2112</v>
      </c>
      <c r="I124" s="54">
        <f t="shared" si="8"/>
        <v>11712</v>
      </c>
      <c r="J124" s="54">
        <f t="shared" si="19"/>
        <v>6000</v>
      </c>
      <c r="K124" s="54">
        <f t="shared" si="13"/>
        <v>3600</v>
      </c>
      <c r="L124" s="54">
        <f t="shared" si="14"/>
        <v>2112</v>
      </c>
      <c r="M124" s="69">
        <f>SUM(J124:L124)</f>
        <v>11712</v>
      </c>
    </row>
    <row r="125" spans="1:17" ht="18.75" customHeight="1">
      <c r="A125" s="1"/>
      <c r="B125" s="1"/>
      <c r="C125" s="53" t="s">
        <v>286</v>
      </c>
      <c r="D125" s="1"/>
      <c r="E125" s="1"/>
      <c r="F125" s="54"/>
      <c r="G125" s="69"/>
      <c r="H125" s="70"/>
      <c r="I125" s="54"/>
      <c r="J125" s="54"/>
      <c r="K125" s="54"/>
      <c r="L125" s="54"/>
      <c r="M125" s="69"/>
      <c r="N125" s="4"/>
      <c r="Q125" s="4"/>
    </row>
    <row r="126" spans="1:17" s="5" customFormat="1" ht="18.75" customHeight="1">
      <c r="A126" s="53"/>
      <c r="B126" s="1">
        <f>B124+0.01</f>
        <v>8.129999999999999</v>
      </c>
      <c r="C126" s="71" t="s">
        <v>180</v>
      </c>
      <c r="D126" s="1">
        <v>6</v>
      </c>
      <c r="E126" s="1" t="s">
        <v>136</v>
      </c>
      <c r="F126" s="70">
        <v>600</v>
      </c>
      <c r="G126" s="70">
        <v>360</v>
      </c>
      <c r="H126" s="70">
        <f t="shared" si="31"/>
        <v>211.2</v>
      </c>
      <c r="I126" s="54">
        <f>SUM(F126:H126)</f>
        <v>1171.2</v>
      </c>
      <c r="J126" s="54">
        <f>D126*F126</f>
        <v>3600</v>
      </c>
      <c r="K126" s="54">
        <f>D126*G126</f>
        <v>2160</v>
      </c>
      <c r="L126" s="54">
        <f>D126*H126</f>
        <v>1267.1999999999998</v>
      </c>
      <c r="M126" s="69">
        <f>SUM(J126:L126)</f>
        <v>7027.2</v>
      </c>
    </row>
    <row r="127" spans="1:17" s="5" customFormat="1" ht="18.75" customHeight="1">
      <c r="A127" s="53"/>
      <c r="B127" s="1">
        <f>B126+0.01</f>
        <v>8.1399999999999988</v>
      </c>
      <c r="C127" s="71" t="s">
        <v>178</v>
      </c>
      <c r="D127" s="1">
        <v>16</v>
      </c>
      <c r="E127" s="1" t="s">
        <v>136</v>
      </c>
      <c r="F127" s="70">
        <v>290</v>
      </c>
      <c r="G127" s="70">
        <v>175</v>
      </c>
      <c r="H127" s="70">
        <f t="shared" si="31"/>
        <v>102.3</v>
      </c>
      <c r="I127" s="54">
        <f>SUM(F127:H127)</f>
        <v>567.29999999999995</v>
      </c>
      <c r="J127" s="54">
        <f>D127*F127</f>
        <v>4640</v>
      </c>
      <c r="K127" s="54">
        <f>D127*G127</f>
        <v>2800</v>
      </c>
      <c r="L127" s="54">
        <f>D127*H127</f>
        <v>1636.8</v>
      </c>
      <c r="M127" s="69">
        <f>SUM(J127:L127)</f>
        <v>9076.7999999999993</v>
      </c>
    </row>
    <row r="128" spans="1:17" s="5" customFormat="1" ht="18.75" customHeight="1">
      <c r="A128" s="53"/>
      <c r="B128" s="1">
        <f>B127+0.01</f>
        <v>8.1499999999999986</v>
      </c>
      <c r="C128" s="71" t="s">
        <v>227</v>
      </c>
      <c r="D128" s="1">
        <v>10</v>
      </c>
      <c r="E128" s="1" t="s">
        <v>136</v>
      </c>
      <c r="F128" s="70">
        <v>800</v>
      </c>
      <c r="G128" s="70">
        <v>480</v>
      </c>
      <c r="H128" s="70">
        <f t="shared" si="31"/>
        <v>281.60000000000002</v>
      </c>
      <c r="I128" s="54">
        <f>SUM(F128:H128)</f>
        <v>1561.6</v>
      </c>
      <c r="J128" s="54">
        <f>D128*F128</f>
        <v>8000</v>
      </c>
      <c r="K128" s="54">
        <f>D128*G128</f>
        <v>4800</v>
      </c>
      <c r="L128" s="54">
        <f>D128*H128</f>
        <v>2816</v>
      </c>
      <c r="M128" s="69">
        <f>SUM(J128:L128)</f>
        <v>15616</v>
      </c>
    </row>
    <row r="129" spans="1:17" s="5" customFormat="1" ht="18.75" customHeight="1">
      <c r="A129" s="68"/>
      <c r="B129" s="1">
        <f>B128+0.01</f>
        <v>8.1599999999999984</v>
      </c>
      <c r="C129" s="71" t="s">
        <v>179</v>
      </c>
      <c r="D129" s="1">
        <v>1</v>
      </c>
      <c r="E129" s="1" t="s">
        <v>5</v>
      </c>
      <c r="F129" s="70">
        <v>2500</v>
      </c>
      <c r="G129" s="70">
        <v>1500</v>
      </c>
      <c r="H129" s="70">
        <f t="shared" si="31"/>
        <v>880</v>
      </c>
      <c r="I129" s="54">
        <f>SUM(F129:H129)</f>
        <v>4880</v>
      </c>
      <c r="J129" s="54">
        <f>D129*F129</f>
        <v>2500</v>
      </c>
      <c r="K129" s="54">
        <f>D129*G129</f>
        <v>1500</v>
      </c>
      <c r="L129" s="54">
        <f>D129*H129</f>
        <v>880</v>
      </c>
      <c r="M129" s="69">
        <f>SUM(J129:L129)</f>
        <v>4880</v>
      </c>
      <c r="N129" s="75"/>
    </row>
    <row r="130" spans="1:17" ht="18.75" customHeight="1">
      <c r="A130" s="1"/>
      <c r="B130" s="1"/>
      <c r="C130" s="53" t="s">
        <v>258</v>
      </c>
      <c r="D130" s="1"/>
      <c r="E130" s="1"/>
      <c r="F130" s="54"/>
      <c r="G130" s="69"/>
      <c r="H130" s="70"/>
      <c r="I130" s="54"/>
      <c r="J130" s="54"/>
      <c r="K130" s="54"/>
      <c r="L130" s="54"/>
      <c r="M130" s="69"/>
      <c r="N130" s="4"/>
      <c r="Q130" s="4"/>
    </row>
    <row r="131" spans="1:17" s="5" customFormat="1" ht="18.75" customHeight="1">
      <c r="A131" s="53"/>
      <c r="B131" s="1">
        <f>B129+0.01</f>
        <v>8.1699999999999982</v>
      </c>
      <c r="C131" s="71" t="s">
        <v>259</v>
      </c>
      <c r="D131" s="1">
        <v>20</v>
      </c>
      <c r="E131" s="1" t="s">
        <v>260</v>
      </c>
      <c r="F131" s="70">
        <v>150</v>
      </c>
      <c r="G131" s="70">
        <v>100</v>
      </c>
      <c r="H131" s="70">
        <f>0.22*(F131+G131)</f>
        <v>55</v>
      </c>
      <c r="I131" s="54">
        <f>SUM(F131:H131)</f>
        <v>305</v>
      </c>
      <c r="J131" s="54">
        <f>D131*F131</f>
        <v>3000</v>
      </c>
      <c r="K131" s="54">
        <f>D131*G131</f>
        <v>2000</v>
      </c>
      <c r="L131" s="54">
        <f>D131*H131</f>
        <v>1100</v>
      </c>
      <c r="M131" s="69">
        <f>SUM(J131:L131)</f>
        <v>6100</v>
      </c>
    </row>
    <row r="132" spans="1:17" s="5" customFormat="1" ht="18.75" customHeight="1">
      <c r="A132" s="68"/>
      <c r="B132" s="1"/>
      <c r="C132" s="71"/>
      <c r="D132" s="1"/>
      <c r="E132" s="1"/>
      <c r="F132" s="88"/>
      <c r="G132" s="82"/>
      <c r="H132" s="82"/>
      <c r="I132" s="54"/>
      <c r="J132" s="54"/>
      <c r="K132" s="54"/>
      <c r="L132" s="82" t="s">
        <v>208</v>
      </c>
      <c r="M132" s="81">
        <f>SUM(M122:M131)</f>
        <v>96709.4</v>
      </c>
      <c r="N132" s="75"/>
      <c r="O132" s="72">
        <f>M132</f>
        <v>96709.4</v>
      </c>
    </row>
    <row r="133" spans="1:17" ht="18.75" customHeight="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</row>
    <row r="134" spans="1:17" ht="24.95" customHeight="1">
      <c r="A134" s="361" t="s">
        <v>233</v>
      </c>
      <c r="B134" s="362"/>
      <c r="C134" s="363"/>
      <c r="D134" s="372">
        <f>O134</f>
        <v>1973722.1</v>
      </c>
      <c r="E134" s="373"/>
      <c r="F134" s="373"/>
      <c r="G134" s="373"/>
      <c r="H134" s="373"/>
      <c r="I134" s="373"/>
      <c r="J134" s="373"/>
      <c r="K134" s="373"/>
      <c r="L134" s="373"/>
      <c r="M134" s="374"/>
      <c r="O134" s="72">
        <f>SUM(O29:O132)</f>
        <v>1973722.1</v>
      </c>
      <c r="Q134" s="4"/>
    </row>
    <row r="135" spans="1:17" ht="24.95" customHeight="1">
      <c r="A135" s="361" t="s">
        <v>234</v>
      </c>
      <c r="B135" s="362"/>
      <c r="C135" s="363"/>
      <c r="D135" s="364"/>
      <c r="E135" s="365"/>
      <c r="F135" s="365"/>
      <c r="G135" s="365"/>
      <c r="H135" s="365"/>
      <c r="I135" s="365"/>
      <c r="J135" s="365"/>
      <c r="K135" s="365"/>
      <c r="L135" s="365"/>
      <c r="M135" s="366"/>
      <c r="O135" s="72"/>
      <c r="Q135" s="4"/>
    </row>
    <row r="136" spans="1:17">
      <c r="A136" s="7"/>
      <c r="B136" s="7"/>
      <c r="C136" s="8"/>
      <c r="D136" s="7"/>
      <c r="E136" s="7"/>
    </row>
    <row r="137" spans="1:17">
      <c r="B137" s="10"/>
      <c r="C137" s="11"/>
      <c r="D137" s="12"/>
      <c r="E137" s="12"/>
      <c r="F137" s="13"/>
      <c r="G137" s="13"/>
      <c r="H137" s="13"/>
      <c r="I137" s="13"/>
      <c r="J137" s="13"/>
      <c r="K137" s="13"/>
      <c r="L137" s="13"/>
      <c r="M137" s="13"/>
    </row>
    <row r="138" spans="1:17">
      <c r="A138" s="10"/>
      <c r="B138" s="10"/>
      <c r="C138" s="11"/>
      <c r="D138" s="12"/>
      <c r="E138" s="12"/>
      <c r="F138" s="13"/>
      <c r="G138" s="13"/>
      <c r="H138" s="13"/>
      <c r="I138" s="13"/>
      <c r="J138" s="13"/>
      <c r="K138" s="13"/>
      <c r="L138" s="13"/>
      <c r="M138" s="13"/>
    </row>
    <row r="139" spans="1:17">
      <c r="A139" s="2"/>
      <c r="B139" s="2" t="s">
        <v>207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7">
      <c r="A140" s="2"/>
      <c r="B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7">
      <c r="A141" s="2"/>
      <c r="B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7">
      <c r="A142" s="2"/>
      <c r="B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7">
      <c r="A143" s="2"/>
      <c r="B143" s="11" t="s">
        <v>17</v>
      </c>
      <c r="D143" s="15"/>
      <c r="F143" s="2"/>
      <c r="G143" s="15"/>
      <c r="H143" s="2"/>
      <c r="I143" s="2"/>
      <c r="J143" s="2"/>
      <c r="K143" s="2"/>
      <c r="L143" s="2"/>
      <c r="M143" s="2"/>
    </row>
    <row r="144" spans="1:17">
      <c r="A144" s="2"/>
      <c r="B144" s="16" t="s">
        <v>94</v>
      </c>
      <c r="C144" s="16"/>
      <c r="D144" s="58"/>
      <c r="F144" s="2"/>
      <c r="G144" s="58"/>
      <c r="H144" s="2"/>
      <c r="I144" s="2"/>
      <c r="J144" s="2"/>
      <c r="K144" s="2"/>
      <c r="L144" s="2"/>
      <c r="M144" s="2"/>
    </row>
    <row r="145" spans="1:13">
      <c r="A145" s="2"/>
      <c r="B145" s="16"/>
      <c r="C145" s="16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>
      <c r="A146" s="2"/>
      <c r="B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>
      <c r="A147" s="2"/>
      <c r="B147" s="2" t="s">
        <v>97</v>
      </c>
      <c r="D147" s="2" t="s">
        <v>270</v>
      </c>
      <c r="E147" s="2"/>
      <c r="F147" s="2"/>
      <c r="G147" s="2"/>
      <c r="H147" s="2"/>
      <c r="I147" s="2"/>
      <c r="J147" s="2"/>
      <c r="K147" s="2"/>
      <c r="L147" s="2"/>
      <c r="M147" s="2"/>
    </row>
    <row r="148" spans="1:13">
      <c r="A148" s="2"/>
      <c r="B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>
      <c r="A149" s="2"/>
      <c r="B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>
      <c r="A150" s="2"/>
      <c r="B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16.5" customHeight="1">
      <c r="A151" s="2"/>
      <c r="B151" s="11" t="s">
        <v>93</v>
      </c>
      <c r="D151" s="11" t="s">
        <v>268</v>
      </c>
      <c r="E151" s="2"/>
      <c r="F151" s="2"/>
      <c r="G151" s="2"/>
      <c r="H151" s="2"/>
      <c r="I151" s="2"/>
      <c r="J151" s="2"/>
      <c r="K151" s="2"/>
      <c r="L151" s="2"/>
      <c r="M151" s="2"/>
    </row>
    <row r="152" spans="1:13">
      <c r="A152" s="2"/>
      <c r="B152" s="16" t="s">
        <v>14</v>
      </c>
      <c r="D152" s="16" t="s">
        <v>269</v>
      </c>
      <c r="E152" s="2"/>
      <c r="F152" s="2"/>
      <c r="G152" s="2"/>
      <c r="H152" s="2"/>
      <c r="I152" s="2"/>
      <c r="J152" s="2"/>
      <c r="K152" s="2"/>
      <c r="L152" s="2"/>
      <c r="M152" s="2"/>
    </row>
    <row r="153" spans="1:13">
      <c r="A153" s="2"/>
      <c r="C153" s="3"/>
      <c r="D153" s="2"/>
      <c r="F153" s="3"/>
      <c r="G153" s="3"/>
      <c r="H153" s="3"/>
      <c r="I153" s="3"/>
      <c r="J153" s="3"/>
      <c r="K153" s="3"/>
      <c r="L153" s="3"/>
      <c r="M153" s="3"/>
    </row>
    <row r="154" spans="1:13">
      <c r="A154" s="2"/>
      <c r="B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>
      <c r="A155" s="2"/>
      <c r="B155" s="2" t="s">
        <v>10</v>
      </c>
      <c r="D155" s="2" t="s">
        <v>11</v>
      </c>
      <c r="F155" s="2"/>
      <c r="G155" s="2"/>
      <c r="H155" s="2"/>
      <c r="I155" s="2"/>
      <c r="J155" s="2"/>
      <c r="K155" s="2"/>
      <c r="L155" s="2"/>
      <c r="M155" s="2"/>
    </row>
    <row r="156" spans="1:13">
      <c r="A156" s="2"/>
      <c r="B156" s="2"/>
      <c r="D156" s="2"/>
      <c r="F156" s="2"/>
      <c r="G156" s="2"/>
      <c r="H156" s="2"/>
      <c r="I156" s="2"/>
      <c r="J156" s="2"/>
      <c r="K156" s="2"/>
      <c r="L156" s="2"/>
      <c r="M156" s="2"/>
    </row>
    <row r="157" spans="1:13">
      <c r="D157" s="2"/>
    </row>
    <row r="158" spans="1:13">
      <c r="B158" s="11" t="s">
        <v>12</v>
      </c>
      <c r="C158" s="10"/>
      <c r="D158" s="10" t="s">
        <v>13</v>
      </c>
      <c r="F158" s="2"/>
      <c r="H158" s="2"/>
      <c r="I158" s="2"/>
    </row>
    <row r="159" spans="1:13">
      <c r="B159" s="16" t="s">
        <v>15</v>
      </c>
      <c r="C159" s="16"/>
      <c r="D159" s="16" t="s">
        <v>16</v>
      </c>
      <c r="F159" s="2"/>
      <c r="H159" s="2"/>
      <c r="I159" s="2"/>
    </row>
    <row r="160" spans="1:13">
      <c r="C160" s="3"/>
      <c r="D160" s="2"/>
      <c r="F160" s="3"/>
      <c r="G160" s="3"/>
      <c r="H160" s="3"/>
      <c r="I160" s="3"/>
    </row>
  </sheetData>
  <mergeCells count="15">
    <mergeCell ref="A135:C135"/>
    <mergeCell ref="D135:M135"/>
    <mergeCell ref="F8:G8"/>
    <mergeCell ref="H8:H9"/>
    <mergeCell ref="A8:B9"/>
    <mergeCell ref="C8:C9"/>
    <mergeCell ref="D8:D9"/>
    <mergeCell ref="E8:E9"/>
    <mergeCell ref="J8:J9"/>
    <mergeCell ref="K8:K9"/>
    <mergeCell ref="L8:L9"/>
    <mergeCell ref="M8:M9"/>
    <mergeCell ref="A134:C134"/>
    <mergeCell ref="D134:M134"/>
    <mergeCell ref="I8:I9"/>
  </mergeCells>
  <printOptions horizontalCentered="1" verticalCentered="1"/>
  <pageMargins left="0.5" right="0.5" top="0.5" bottom="0.8" header="0" footer="0.5"/>
  <pageSetup paperSize="10000" scale="42" orientation="landscape" r:id="rId1"/>
  <headerFooter>
    <oddFooter>&amp;CPage &amp;P of &amp;[3</oddFooter>
  </headerFooter>
  <rowBreaks count="2" manualBreakCount="2">
    <brk id="66" max="12" man="1"/>
    <brk id="112" max="12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4"/>
  <sheetViews>
    <sheetView showGridLines="0" view="pageBreakPreview" zoomScale="55" zoomScaleNormal="85" zoomScaleSheetLayoutView="55" zoomScalePageLayoutView="60" workbookViewId="0">
      <pane ySplit="1680" activePane="bottomLeft"/>
      <selection activeCell="J34" sqref="J34"/>
      <selection pane="bottomLeft" activeCell="J34" sqref="J34"/>
    </sheetView>
  </sheetViews>
  <sheetFormatPr defaultColWidth="9.140625" defaultRowHeight="18.75"/>
  <cols>
    <col min="1" max="1" width="12.42578125" style="3" customWidth="1"/>
    <col min="2" max="2" width="13" style="3" customWidth="1"/>
    <col min="3" max="3" width="88.42578125" style="2" customWidth="1"/>
    <col min="4" max="4" width="13" style="3" customWidth="1"/>
    <col min="5" max="5" width="12" style="3" customWidth="1"/>
    <col min="6" max="6" width="19.28515625" style="4" customWidth="1"/>
    <col min="7" max="7" width="18.85546875" style="4" customWidth="1"/>
    <col min="8" max="9" width="18.7109375" style="4" customWidth="1"/>
    <col min="10" max="10" width="20.5703125" style="4" customWidth="1"/>
    <col min="11" max="12" width="18.7109375" style="4" customWidth="1"/>
    <col min="13" max="13" width="28.5703125" style="4" customWidth="1"/>
    <col min="14" max="14" width="14.28515625" style="2" bestFit="1" customWidth="1"/>
    <col min="15" max="15" width="21.42578125" style="2" customWidth="1"/>
    <col min="16" max="16" width="9.140625" style="2"/>
    <col min="17" max="17" width="16.42578125" style="2" bestFit="1" customWidth="1"/>
    <col min="18" max="18" width="14.28515625" style="2" bestFit="1" customWidth="1"/>
    <col min="19" max="31" width="9.140625" style="2"/>
    <col min="32" max="32" width="18.42578125" style="2" bestFit="1" customWidth="1"/>
    <col min="33" max="16384" width="9.140625" style="2"/>
  </cols>
  <sheetData>
    <row r="1" spans="1:15">
      <c r="A1" s="46" t="s">
        <v>6</v>
      </c>
      <c r="B1" s="10" t="s">
        <v>271</v>
      </c>
      <c r="C1" s="11"/>
      <c r="D1" s="12"/>
      <c r="E1" s="12"/>
      <c r="F1" s="13"/>
      <c r="G1" s="13"/>
      <c r="H1" s="13"/>
      <c r="I1" s="13"/>
      <c r="J1" s="13"/>
      <c r="K1" s="13"/>
      <c r="L1" s="13"/>
      <c r="M1" s="13"/>
    </row>
    <row r="2" spans="1:15">
      <c r="A2" s="46" t="s">
        <v>8</v>
      </c>
      <c r="B2" s="10" t="s">
        <v>9</v>
      </c>
      <c r="C2" s="11"/>
      <c r="D2" s="12"/>
      <c r="E2" s="12"/>
      <c r="F2" s="13"/>
      <c r="G2" s="13"/>
      <c r="H2" s="13" t="s">
        <v>190</v>
      </c>
      <c r="I2" s="13"/>
      <c r="J2" s="13"/>
      <c r="K2" s="13"/>
      <c r="L2" s="13"/>
      <c r="M2" s="13"/>
    </row>
    <row r="3" spans="1:15" hidden="1">
      <c r="A3" s="46" t="s">
        <v>95</v>
      </c>
      <c r="B3" s="10" t="s">
        <v>96</v>
      </c>
      <c r="C3" s="11"/>
      <c r="D3" s="12"/>
      <c r="E3" s="12"/>
      <c r="F3" s="13"/>
      <c r="G3" s="13"/>
      <c r="H3" s="13"/>
      <c r="I3" s="13"/>
      <c r="J3" s="13"/>
      <c r="K3" s="13"/>
      <c r="L3" s="13"/>
      <c r="M3" s="13"/>
    </row>
    <row r="4" spans="1:15">
      <c r="A4" s="46" t="s">
        <v>137</v>
      </c>
      <c r="B4" s="10" t="s">
        <v>218</v>
      </c>
      <c r="C4" s="11"/>
      <c r="D4" s="12"/>
      <c r="E4" s="12"/>
      <c r="F4" s="13"/>
      <c r="G4" s="13"/>
      <c r="H4" s="13"/>
      <c r="I4" s="13"/>
      <c r="J4" s="13"/>
      <c r="K4" s="13"/>
      <c r="L4" s="13"/>
      <c r="M4" s="13"/>
    </row>
    <row r="5" spans="1:15">
      <c r="A5" s="10"/>
      <c r="B5" s="10"/>
      <c r="C5" s="14"/>
      <c r="D5" s="12"/>
      <c r="E5" s="12"/>
      <c r="F5" s="13"/>
      <c r="G5" s="13"/>
      <c r="H5" s="13"/>
      <c r="I5" s="13"/>
      <c r="J5" s="13"/>
      <c r="K5" s="13"/>
      <c r="L5" s="13"/>
      <c r="M5" s="13"/>
    </row>
    <row r="7" spans="1:15" s="5" customFormat="1" ht="18.75" customHeight="1">
      <c r="A7" s="359" t="s">
        <v>138</v>
      </c>
      <c r="B7" s="359"/>
      <c r="C7" s="360" t="s">
        <v>19</v>
      </c>
      <c r="D7" s="360" t="s">
        <v>2</v>
      </c>
      <c r="E7" s="360" t="s">
        <v>0</v>
      </c>
      <c r="F7" s="375" t="s">
        <v>231</v>
      </c>
      <c r="G7" s="375"/>
      <c r="H7" s="375"/>
      <c r="I7" s="375"/>
      <c r="J7" s="371" t="s">
        <v>139</v>
      </c>
      <c r="K7" s="371" t="s">
        <v>140</v>
      </c>
      <c r="L7" s="371" t="s">
        <v>4</v>
      </c>
      <c r="M7" s="353" t="s">
        <v>232</v>
      </c>
    </row>
    <row r="8" spans="1:15" s="5" customFormat="1" ht="23.25" customHeight="1">
      <c r="A8" s="359"/>
      <c r="B8" s="359"/>
      <c r="C8" s="360"/>
      <c r="D8" s="360"/>
      <c r="E8" s="360"/>
      <c r="F8" s="83" t="s">
        <v>139</v>
      </c>
      <c r="G8" s="83" t="s">
        <v>140</v>
      </c>
      <c r="H8" s="83" t="s">
        <v>4</v>
      </c>
      <c r="I8" s="83" t="s">
        <v>230</v>
      </c>
      <c r="J8" s="371"/>
      <c r="K8" s="371"/>
      <c r="L8" s="371"/>
      <c r="M8" s="353"/>
    </row>
    <row r="9" spans="1:15" s="5" customFormat="1" ht="23.25" hidden="1" customHeight="1">
      <c r="A9" s="84">
        <v>1</v>
      </c>
      <c r="B9" s="68"/>
      <c r="C9" s="66" t="s">
        <v>142</v>
      </c>
      <c r="D9" s="85"/>
      <c r="E9" s="85"/>
      <c r="F9" s="83"/>
      <c r="G9" s="83"/>
      <c r="H9" s="83"/>
      <c r="I9" s="83"/>
      <c r="J9" s="83"/>
      <c r="K9" s="83"/>
      <c r="L9" s="83"/>
      <c r="M9" s="83"/>
      <c r="O9" s="72"/>
    </row>
    <row r="10" spans="1:15" hidden="1">
      <c r="A10" s="1"/>
      <c r="B10" s="68">
        <f>1+0.01</f>
        <v>1.01</v>
      </c>
      <c r="C10" s="53" t="s">
        <v>169</v>
      </c>
      <c r="D10" s="1">
        <v>1</v>
      </c>
      <c r="E10" s="1" t="s">
        <v>18</v>
      </c>
      <c r="F10" s="54">
        <v>15000</v>
      </c>
      <c r="G10" s="54" t="s">
        <v>177</v>
      </c>
      <c r="H10" s="54"/>
      <c r="I10" s="54"/>
      <c r="J10" s="54"/>
      <c r="K10" s="54"/>
      <c r="L10" s="54"/>
      <c r="M10" s="69"/>
    </row>
    <row r="11" spans="1:15" hidden="1">
      <c r="A11" s="1"/>
      <c r="B11" s="68">
        <f>B10+0.01</f>
        <v>1.02</v>
      </c>
      <c r="C11" s="53" t="s">
        <v>170</v>
      </c>
      <c r="D11" s="1">
        <v>1</v>
      </c>
      <c r="E11" s="1" t="s">
        <v>18</v>
      </c>
      <c r="F11" s="54">
        <v>4500</v>
      </c>
      <c r="G11" s="54"/>
      <c r="H11" s="54"/>
      <c r="I11" s="54"/>
      <c r="J11" s="54"/>
      <c r="K11" s="54"/>
      <c r="L11" s="54"/>
      <c r="M11" s="69"/>
    </row>
    <row r="12" spans="1:15" s="5" customFormat="1" ht="23.25" hidden="1" customHeight="1">
      <c r="A12" s="68"/>
      <c r="B12" s="68">
        <f t="shared" ref="B12:B23" si="0">B11+0.01</f>
        <v>1.03</v>
      </c>
      <c r="C12" s="67" t="s">
        <v>143</v>
      </c>
      <c r="D12" s="1">
        <v>2</v>
      </c>
      <c r="E12" s="1" t="s">
        <v>18</v>
      </c>
      <c r="F12" s="70">
        <v>6500</v>
      </c>
      <c r="G12" s="70"/>
      <c r="H12" s="70"/>
      <c r="I12" s="70"/>
      <c r="J12" s="70"/>
      <c r="K12" s="70"/>
      <c r="L12" s="70"/>
      <c r="M12" s="73"/>
    </row>
    <row r="13" spans="1:15" hidden="1">
      <c r="A13" s="1"/>
      <c r="B13" s="68">
        <f t="shared" si="0"/>
        <v>1.04</v>
      </c>
      <c r="C13" s="53" t="s">
        <v>145</v>
      </c>
      <c r="D13" s="1">
        <v>4</v>
      </c>
      <c r="E13" s="1" t="s">
        <v>18</v>
      </c>
      <c r="F13" s="54">
        <v>4000</v>
      </c>
      <c r="G13" s="54"/>
      <c r="H13" s="54"/>
      <c r="I13" s="54"/>
      <c r="J13" s="54"/>
      <c r="K13" s="54"/>
      <c r="L13" s="54"/>
      <c r="M13" s="69"/>
    </row>
    <row r="14" spans="1:15" hidden="1">
      <c r="A14" s="1"/>
      <c r="B14" s="68">
        <f t="shared" si="0"/>
        <v>1.05</v>
      </c>
      <c r="C14" s="53" t="s">
        <v>160</v>
      </c>
      <c r="D14" s="1">
        <v>1</v>
      </c>
      <c r="E14" s="1" t="s">
        <v>1</v>
      </c>
      <c r="F14" s="54"/>
      <c r="G14" s="54"/>
      <c r="H14" s="54"/>
      <c r="I14" s="54"/>
      <c r="J14" s="54"/>
      <c r="K14" s="54"/>
      <c r="L14" s="54"/>
      <c r="M14" s="69"/>
    </row>
    <row r="15" spans="1:15" s="5" customFormat="1" ht="23.25" hidden="1" customHeight="1">
      <c r="A15" s="68"/>
      <c r="B15" s="68">
        <f t="shared" si="0"/>
        <v>1.06</v>
      </c>
      <c r="C15" s="67" t="s">
        <v>144</v>
      </c>
      <c r="D15" s="1">
        <v>1</v>
      </c>
      <c r="E15" s="1" t="s">
        <v>1</v>
      </c>
      <c r="F15" s="70">
        <v>35000</v>
      </c>
      <c r="G15" s="70"/>
      <c r="H15" s="70"/>
      <c r="I15" s="70"/>
      <c r="J15" s="70"/>
      <c r="K15" s="70"/>
      <c r="L15" s="70"/>
      <c r="M15" s="73"/>
    </row>
    <row r="16" spans="1:15" hidden="1">
      <c r="A16" s="1"/>
      <c r="B16" s="68">
        <f t="shared" si="0"/>
        <v>1.07</v>
      </c>
      <c r="C16" s="53" t="s">
        <v>159</v>
      </c>
      <c r="D16" s="1">
        <v>8</v>
      </c>
      <c r="E16" s="1" t="s">
        <v>18</v>
      </c>
      <c r="F16" s="54">
        <v>4000</v>
      </c>
      <c r="G16" s="54"/>
      <c r="H16" s="54"/>
      <c r="I16" s="54"/>
      <c r="J16" s="54"/>
      <c r="K16" s="54"/>
      <c r="L16" s="54"/>
      <c r="M16" s="69"/>
    </row>
    <row r="17" spans="1:15" hidden="1">
      <c r="A17" s="1"/>
      <c r="B17" s="68">
        <f t="shared" si="0"/>
        <v>1.08</v>
      </c>
      <c r="C17" s="53" t="s">
        <v>158</v>
      </c>
      <c r="D17" s="1">
        <v>2</v>
      </c>
      <c r="E17" s="1" t="s">
        <v>18</v>
      </c>
      <c r="F17" s="54"/>
      <c r="G17" s="54"/>
      <c r="H17" s="54"/>
      <c r="I17" s="54"/>
      <c r="J17" s="54"/>
      <c r="K17" s="54"/>
      <c r="L17" s="54"/>
      <c r="M17" s="69"/>
    </row>
    <row r="18" spans="1:15" hidden="1">
      <c r="A18" s="1"/>
      <c r="B18" s="68">
        <f t="shared" si="0"/>
        <v>1.0900000000000001</v>
      </c>
      <c r="C18" s="53" t="s">
        <v>157</v>
      </c>
      <c r="D18" s="1">
        <v>1</v>
      </c>
      <c r="E18" s="1" t="s">
        <v>18</v>
      </c>
      <c r="F18" s="54"/>
      <c r="G18" s="54"/>
      <c r="H18" s="54"/>
      <c r="I18" s="54"/>
      <c r="J18" s="54"/>
      <c r="K18" s="54"/>
      <c r="L18" s="54"/>
      <c r="M18" s="69"/>
    </row>
    <row r="19" spans="1:15" ht="37.5" hidden="1">
      <c r="A19" s="1"/>
      <c r="B19" s="68">
        <f t="shared" si="0"/>
        <v>1.1000000000000001</v>
      </c>
      <c r="C19" s="53" t="s">
        <v>162</v>
      </c>
      <c r="D19" s="1">
        <v>3</v>
      </c>
      <c r="E19" s="1" t="s">
        <v>18</v>
      </c>
      <c r="F19" s="54"/>
      <c r="G19" s="54"/>
      <c r="H19" s="54"/>
      <c r="I19" s="54"/>
      <c r="J19" s="54"/>
      <c r="K19" s="54"/>
      <c r="L19" s="54"/>
      <c r="M19" s="69"/>
    </row>
    <row r="20" spans="1:15" hidden="1">
      <c r="A20" s="1"/>
      <c r="B20" s="68">
        <f t="shared" si="0"/>
        <v>1.1100000000000001</v>
      </c>
      <c r="C20" s="53" t="s">
        <v>161</v>
      </c>
      <c r="D20" s="1">
        <v>1</v>
      </c>
      <c r="E20" s="1" t="s">
        <v>18</v>
      </c>
      <c r="F20" s="54"/>
      <c r="G20" s="54"/>
      <c r="H20" s="54"/>
      <c r="I20" s="54"/>
      <c r="J20" s="54"/>
      <c r="K20" s="54"/>
      <c r="L20" s="54"/>
      <c r="M20" s="69"/>
    </row>
    <row r="21" spans="1:15" hidden="1">
      <c r="A21" s="1"/>
      <c r="B21" s="68">
        <f t="shared" si="0"/>
        <v>1.1200000000000001</v>
      </c>
      <c r="C21" s="53" t="s">
        <v>163</v>
      </c>
      <c r="D21" s="1">
        <v>2</v>
      </c>
      <c r="E21" s="1" t="s">
        <v>18</v>
      </c>
      <c r="F21" s="54"/>
      <c r="G21" s="54"/>
      <c r="H21" s="54"/>
      <c r="I21" s="54"/>
      <c r="J21" s="54"/>
      <c r="K21" s="54"/>
      <c r="L21" s="54"/>
      <c r="M21" s="69"/>
    </row>
    <row r="22" spans="1:15" hidden="1">
      <c r="A22" s="1"/>
      <c r="B22" s="68">
        <f t="shared" si="0"/>
        <v>1.1300000000000001</v>
      </c>
      <c r="C22" s="53" t="s">
        <v>164</v>
      </c>
      <c r="D22" s="1">
        <v>1</v>
      </c>
      <c r="E22" s="1" t="s">
        <v>18</v>
      </c>
      <c r="F22" s="54"/>
      <c r="G22" s="54"/>
      <c r="H22" s="54"/>
      <c r="I22" s="54"/>
      <c r="J22" s="54"/>
      <c r="K22" s="54"/>
      <c r="L22" s="54"/>
      <c r="M22" s="69"/>
    </row>
    <row r="23" spans="1:15" hidden="1">
      <c r="A23" s="1"/>
      <c r="B23" s="68">
        <f t="shared" si="0"/>
        <v>1.1400000000000001</v>
      </c>
      <c r="C23" s="53" t="s">
        <v>165</v>
      </c>
      <c r="D23" s="1">
        <v>1</v>
      </c>
      <c r="E23" s="1" t="s">
        <v>18</v>
      </c>
      <c r="F23" s="54"/>
      <c r="G23" s="54"/>
      <c r="H23" s="54"/>
      <c r="I23" s="54"/>
      <c r="J23" s="54"/>
      <c r="K23" s="54"/>
      <c r="L23" s="54"/>
      <c r="M23" s="69"/>
    </row>
    <row r="24" spans="1:15" s="11" customFormat="1" hidden="1">
      <c r="A24" s="85">
        <v>2</v>
      </c>
      <c r="B24" s="74"/>
      <c r="C24" s="57" t="s">
        <v>148</v>
      </c>
      <c r="D24" s="1"/>
      <c r="E24" s="1"/>
      <c r="F24" s="54"/>
      <c r="G24" s="54"/>
      <c r="H24" s="54"/>
      <c r="I24" s="54"/>
      <c r="J24" s="54"/>
      <c r="K24" s="54"/>
      <c r="L24" s="54"/>
      <c r="M24" s="69"/>
      <c r="O24" s="15"/>
    </row>
    <row r="25" spans="1:15" s="5" customFormat="1" hidden="1">
      <c r="A25" s="68"/>
      <c r="B25" s="1">
        <v>2.0099999999999998</v>
      </c>
      <c r="C25" s="67" t="s">
        <v>149</v>
      </c>
      <c r="D25" s="1">
        <v>1</v>
      </c>
      <c r="E25" s="1" t="s">
        <v>1</v>
      </c>
      <c r="F25" s="70">
        <v>30000</v>
      </c>
      <c r="G25" s="70"/>
      <c r="H25" s="70"/>
      <c r="I25" s="70"/>
      <c r="J25" s="70"/>
      <c r="K25" s="70"/>
      <c r="L25" s="70"/>
      <c r="M25" s="73"/>
    </row>
    <row r="26" spans="1:15" hidden="1">
      <c r="A26" s="1"/>
      <c r="B26" s="1">
        <v>2.02</v>
      </c>
      <c r="C26" s="53" t="s">
        <v>155</v>
      </c>
      <c r="D26" s="1">
        <v>5</v>
      </c>
      <c r="E26" s="1" t="s">
        <v>1</v>
      </c>
      <c r="F26" s="54">
        <v>60000</v>
      </c>
      <c r="G26" s="54"/>
      <c r="H26" s="54"/>
      <c r="I26" s="54"/>
      <c r="J26" s="54"/>
      <c r="K26" s="54"/>
      <c r="L26" s="54"/>
      <c r="M26" s="69"/>
    </row>
    <row r="27" spans="1:15" ht="18.75" customHeight="1">
      <c r="A27" s="85">
        <v>1</v>
      </c>
      <c r="B27" s="1"/>
      <c r="C27" s="55" t="s">
        <v>146</v>
      </c>
      <c r="D27" s="1"/>
      <c r="E27" s="1"/>
      <c r="F27" s="54"/>
      <c r="G27" s="54"/>
      <c r="H27" s="54"/>
      <c r="I27" s="54"/>
      <c r="J27" s="54"/>
      <c r="K27" s="54"/>
      <c r="L27" s="54"/>
      <c r="M27" s="69"/>
      <c r="O27" s="15"/>
    </row>
    <row r="28" spans="1:15" s="11" customFormat="1" ht="18.75" customHeight="1">
      <c r="A28" s="74"/>
      <c r="B28" s="1">
        <v>1.01</v>
      </c>
      <c r="C28" s="56" t="s">
        <v>156</v>
      </c>
      <c r="D28" s="1">
        <v>3</v>
      </c>
      <c r="E28" s="1" t="s">
        <v>197</v>
      </c>
      <c r="F28" s="54">
        <v>34000</v>
      </c>
      <c r="G28" s="54">
        <v>8500</v>
      </c>
      <c r="H28" s="54">
        <f>0.22*(F28+G28)</f>
        <v>9350</v>
      </c>
      <c r="I28" s="54">
        <f>SUM(F28:H28)</f>
        <v>51850</v>
      </c>
      <c r="J28" s="54">
        <f>D28*F28</f>
        <v>102000</v>
      </c>
      <c r="K28" s="54">
        <f>D28*G28</f>
        <v>25500</v>
      </c>
      <c r="L28" s="54">
        <f>D28*H28</f>
        <v>28050</v>
      </c>
      <c r="M28" s="69">
        <f>SUM(J28:L28)</f>
        <v>155550</v>
      </c>
    </row>
    <row r="29" spans="1:15" s="6" customFormat="1" ht="18.75" customHeight="1">
      <c r="A29" s="1"/>
      <c r="B29" s="1">
        <f>0.01+B28</f>
        <v>1.02</v>
      </c>
      <c r="C29" s="53" t="s">
        <v>235</v>
      </c>
      <c r="D29" s="1">
        <v>1</v>
      </c>
      <c r="E29" s="1" t="s">
        <v>197</v>
      </c>
      <c r="F29" s="54">
        <v>1600</v>
      </c>
      <c r="G29" s="54">
        <v>480</v>
      </c>
      <c r="H29" s="54">
        <f>0.22*(F29+G29)</f>
        <v>457.6</v>
      </c>
      <c r="I29" s="54">
        <f>SUM(F29:H29)</f>
        <v>2537.6</v>
      </c>
      <c r="J29" s="54">
        <f>D29*F29</f>
        <v>1600</v>
      </c>
      <c r="K29" s="54">
        <f>D29*G29</f>
        <v>480</v>
      </c>
      <c r="L29" s="54">
        <f>D29*H29</f>
        <v>457.6</v>
      </c>
      <c r="M29" s="69">
        <f>SUM(J29:L29)</f>
        <v>2537.6</v>
      </c>
    </row>
    <row r="30" spans="1:15" s="6" customFormat="1" ht="18.75" customHeight="1">
      <c r="A30" s="1"/>
      <c r="B30" s="1">
        <f>0.01+B29</f>
        <v>1.03</v>
      </c>
      <c r="C30" s="53" t="s">
        <v>237</v>
      </c>
      <c r="D30" s="1">
        <v>1</v>
      </c>
      <c r="E30" s="1" t="s">
        <v>197</v>
      </c>
      <c r="F30" s="54">
        <v>400</v>
      </c>
      <c r="G30" s="54">
        <v>120</v>
      </c>
      <c r="H30" s="54">
        <f>0.22*(F30+G30)</f>
        <v>114.4</v>
      </c>
      <c r="I30" s="54">
        <f>SUM(F30:H30)</f>
        <v>634.4</v>
      </c>
      <c r="J30" s="54">
        <f>D30*F30</f>
        <v>400</v>
      </c>
      <c r="K30" s="54">
        <f>D30*G30</f>
        <v>120</v>
      </c>
      <c r="L30" s="54">
        <f>D30*H30</f>
        <v>114.4</v>
      </c>
      <c r="M30" s="69">
        <f>SUM(J30:L30)</f>
        <v>634.4</v>
      </c>
    </row>
    <row r="31" spans="1:15" s="6" customFormat="1" ht="18.75" customHeight="1">
      <c r="A31" s="1"/>
      <c r="B31" s="1">
        <f>0.01+B30</f>
        <v>1.04</v>
      </c>
      <c r="C31" s="53" t="s">
        <v>236</v>
      </c>
      <c r="D31" s="1">
        <v>1</v>
      </c>
      <c r="E31" s="1" t="s">
        <v>197</v>
      </c>
      <c r="F31" s="54">
        <v>520</v>
      </c>
      <c r="G31" s="54">
        <v>150</v>
      </c>
      <c r="H31" s="54">
        <f>0.22*(F31+G31)</f>
        <v>147.4</v>
      </c>
      <c r="I31" s="54">
        <f>SUM(F31:H31)</f>
        <v>817.4</v>
      </c>
      <c r="J31" s="54">
        <f>D31*F31</f>
        <v>520</v>
      </c>
      <c r="K31" s="54">
        <f>D31*G31</f>
        <v>150</v>
      </c>
      <c r="L31" s="54">
        <f>D31*H31</f>
        <v>147.4</v>
      </c>
      <c r="M31" s="69">
        <f>SUM(J31:L31)</f>
        <v>817.4</v>
      </c>
    </row>
    <row r="32" spans="1:15" s="6" customFormat="1" ht="18.75" customHeight="1">
      <c r="A32" s="1"/>
      <c r="B32" s="1"/>
      <c r="C32" s="53"/>
      <c r="D32" s="1"/>
      <c r="E32" s="1"/>
      <c r="G32" s="80"/>
      <c r="H32" s="80"/>
      <c r="I32" s="54"/>
      <c r="J32" s="54"/>
      <c r="K32" s="54"/>
      <c r="L32" s="80" t="s">
        <v>208</v>
      </c>
      <c r="M32" s="81">
        <f>SUM(M28:M31)</f>
        <v>159539.4</v>
      </c>
      <c r="O32" s="79">
        <f>M32</f>
        <v>159539.4</v>
      </c>
    </row>
    <row r="33" spans="1:15" s="11" customFormat="1" ht="18.75" customHeight="1">
      <c r="A33" s="85">
        <v>2</v>
      </c>
      <c r="B33" s="74"/>
      <c r="C33" s="57" t="s">
        <v>147</v>
      </c>
      <c r="D33" s="1"/>
      <c r="E33" s="1"/>
      <c r="F33" s="54"/>
      <c r="G33" s="54"/>
      <c r="H33" s="54"/>
      <c r="I33" s="54"/>
      <c r="J33" s="54"/>
      <c r="K33" s="54"/>
      <c r="L33" s="54"/>
      <c r="M33" s="69"/>
      <c r="O33" s="15"/>
    </row>
    <row r="34" spans="1:15" ht="18.75" customHeight="1">
      <c r="A34" s="1"/>
      <c r="B34" s="68">
        <v>2.0099999999999998</v>
      </c>
      <c r="C34" s="53" t="s">
        <v>266</v>
      </c>
      <c r="D34" s="1">
        <v>2</v>
      </c>
      <c r="E34" s="1" t="s">
        <v>1</v>
      </c>
      <c r="F34" s="89">
        <v>11000</v>
      </c>
      <c r="G34" s="89">
        <v>2200</v>
      </c>
      <c r="H34" s="54">
        <f>0.22*(F34+G34)</f>
        <v>2904</v>
      </c>
      <c r="I34" s="54">
        <f t="shared" ref="I34:I118" si="1">SUM(F34:H34)</f>
        <v>16104</v>
      </c>
      <c r="J34" s="54">
        <f t="shared" ref="J34:J118" si="2">D34*F34</f>
        <v>22000</v>
      </c>
      <c r="K34" s="54">
        <f t="shared" ref="K34:K118" si="3">D34*G34</f>
        <v>4400</v>
      </c>
      <c r="L34" s="54">
        <f t="shared" ref="L34:L118" si="4">D34*H34</f>
        <v>5808</v>
      </c>
      <c r="M34" s="69">
        <f>SUM(J34:L34)</f>
        <v>32208</v>
      </c>
    </row>
    <row r="35" spans="1:15" ht="18.75" customHeight="1">
      <c r="A35" s="1"/>
      <c r="B35" s="68">
        <f>B34+0.01</f>
        <v>2.0199999999999996</v>
      </c>
      <c r="C35" s="53" t="s">
        <v>201</v>
      </c>
      <c r="D35" s="1">
        <v>2</v>
      </c>
      <c r="E35" s="1" t="s">
        <v>1</v>
      </c>
      <c r="F35" s="89">
        <v>5600</v>
      </c>
      <c r="G35" s="89">
        <v>1100</v>
      </c>
      <c r="H35" s="54">
        <f>0.22*(F35+G35)</f>
        <v>1474</v>
      </c>
      <c r="I35" s="54">
        <f t="shared" si="1"/>
        <v>8174</v>
      </c>
      <c r="J35" s="54">
        <f t="shared" si="2"/>
        <v>11200</v>
      </c>
      <c r="K35" s="54">
        <f t="shared" si="3"/>
        <v>2200</v>
      </c>
      <c r="L35" s="54">
        <f t="shared" si="4"/>
        <v>2948</v>
      </c>
      <c r="M35" s="69">
        <f>SUM(J35:L35)</f>
        <v>16348</v>
      </c>
    </row>
    <row r="36" spans="1:15" ht="18.75" customHeight="1">
      <c r="A36" s="1"/>
      <c r="B36" s="68">
        <f>B35+0.01</f>
        <v>2.0299999999999994</v>
      </c>
      <c r="C36" s="53" t="s">
        <v>202</v>
      </c>
      <c r="D36" s="1">
        <v>1</v>
      </c>
      <c r="E36" s="1" t="s">
        <v>1</v>
      </c>
      <c r="F36" s="89">
        <v>8000</v>
      </c>
      <c r="G36" s="89">
        <v>1600</v>
      </c>
      <c r="H36" s="54">
        <f>0.22*(F36+G36)</f>
        <v>2112</v>
      </c>
      <c r="I36" s="54">
        <f t="shared" si="1"/>
        <v>11712</v>
      </c>
      <c r="J36" s="54">
        <f t="shared" si="2"/>
        <v>8000</v>
      </c>
      <c r="K36" s="54">
        <f t="shared" si="3"/>
        <v>1600</v>
      </c>
      <c r="L36" s="54">
        <f t="shared" si="4"/>
        <v>2112</v>
      </c>
      <c r="M36" s="69">
        <f>SUM(J36:L36)</f>
        <v>11712</v>
      </c>
    </row>
    <row r="37" spans="1:15" ht="18.75" customHeight="1">
      <c r="A37" s="1"/>
      <c r="B37" s="68">
        <f>B36+0.01</f>
        <v>2.0399999999999991</v>
      </c>
      <c r="C37" s="53" t="s">
        <v>267</v>
      </c>
      <c r="D37" s="1">
        <v>1</v>
      </c>
      <c r="E37" s="1" t="s">
        <v>1</v>
      </c>
      <c r="F37" s="89">
        <v>18000</v>
      </c>
      <c r="G37" s="89">
        <v>3600</v>
      </c>
      <c r="H37" s="54">
        <f>0.22*(F37+G37)</f>
        <v>4752</v>
      </c>
      <c r="I37" s="54">
        <f t="shared" si="1"/>
        <v>26352</v>
      </c>
      <c r="J37" s="54">
        <f t="shared" si="2"/>
        <v>18000</v>
      </c>
      <c r="K37" s="54">
        <f t="shared" si="3"/>
        <v>3600</v>
      </c>
      <c r="L37" s="54">
        <f t="shared" si="4"/>
        <v>4752</v>
      </c>
      <c r="M37" s="69">
        <f>SUM(J37:L37)</f>
        <v>26352</v>
      </c>
    </row>
    <row r="38" spans="1:15" ht="18.75" customHeight="1">
      <c r="A38" s="1"/>
      <c r="B38" s="68">
        <f>B37+0.01</f>
        <v>2.0499999999999989</v>
      </c>
      <c r="C38" s="53" t="s">
        <v>272</v>
      </c>
      <c r="D38" s="1">
        <v>2</v>
      </c>
      <c r="E38" s="1" t="s">
        <v>1</v>
      </c>
      <c r="F38" s="54">
        <v>1500</v>
      </c>
      <c r="G38" s="54">
        <v>500</v>
      </c>
      <c r="H38" s="54">
        <f>0.22*(F38+G38)</f>
        <v>440</v>
      </c>
      <c r="I38" s="54">
        <f t="shared" si="1"/>
        <v>2440</v>
      </c>
      <c r="J38" s="54">
        <f t="shared" si="2"/>
        <v>3000</v>
      </c>
      <c r="K38" s="54">
        <f t="shared" si="3"/>
        <v>1000</v>
      </c>
      <c r="L38" s="54">
        <f t="shared" si="4"/>
        <v>880</v>
      </c>
      <c r="M38" s="69">
        <f>SUM(J38:L38)</f>
        <v>4880</v>
      </c>
    </row>
    <row r="39" spans="1:15" ht="18.75" customHeight="1">
      <c r="A39" s="1"/>
      <c r="B39" s="68"/>
      <c r="C39" s="53"/>
      <c r="D39" s="1"/>
      <c r="E39" s="1"/>
      <c r="G39" s="80"/>
      <c r="H39" s="80"/>
      <c r="I39" s="54"/>
      <c r="J39" s="54"/>
      <c r="K39" s="54"/>
      <c r="L39" s="80" t="s">
        <v>208</v>
      </c>
      <c r="M39" s="81">
        <f>SUM(M34:M38)</f>
        <v>91500</v>
      </c>
      <c r="O39" s="15">
        <f>M39</f>
        <v>91500</v>
      </c>
    </row>
    <row r="40" spans="1:15" s="11" customFormat="1" ht="18.75" customHeight="1">
      <c r="A40" s="85">
        <v>3</v>
      </c>
      <c r="B40" s="74"/>
      <c r="C40" s="57" t="s">
        <v>150</v>
      </c>
      <c r="D40" s="1"/>
      <c r="E40" s="1"/>
      <c r="F40" s="54"/>
      <c r="G40" s="54"/>
      <c r="H40" s="54"/>
      <c r="I40" s="54"/>
      <c r="J40" s="54"/>
      <c r="K40" s="54"/>
      <c r="L40" s="54"/>
      <c r="M40" s="69"/>
      <c r="O40" s="15"/>
    </row>
    <row r="41" spans="1:15" s="11" customFormat="1" ht="18.75" customHeight="1">
      <c r="A41" s="85"/>
      <c r="B41" s="74"/>
      <c r="C41" s="56" t="s">
        <v>181</v>
      </c>
      <c r="D41" s="1"/>
      <c r="E41" s="1"/>
      <c r="F41" s="54"/>
      <c r="G41" s="54"/>
      <c r="H41" s="54"/>
      <c r="I41" s="54"/>
      <c r="J41" s="54"/>
      <c r="K41" s="54"/>
      <c r="L41" s="54"/>
      <c r="M41" s="69"/>
      <c r="O41" s="15"/>
    </row>
    <row r="42" spans="1:15" s="5" customFormat="1" ht="18.75" customHeight="1">
      <c r="A42" s="68"/>
      <c r="B42" s="1">
        <v>3.01</v>
      </c>
      <c r="C42" s="71" t="s">
        <v>194</v>
      </c>
      <c r="D42" s="1">
        <v>24</v>
      </c>
      <c r="E42" s="1" t="s">
        <v>197</v>
      </c>
      <c r="F42" s="70">
        <v>1350</v>
      </c>
      <c r="G42" s="70">
        <v>945</v>
      </c>
      <c r="H42" s="70">
        <f>0.22*(F42+G42)</f>
        <v>504.9</v>
      </c>
      <c r="I42" s="54">
        <f t="shared" si="1"/>
        <v>2799.9</v>
      </c>
      <c r="J42" s="54">
        <f>D42*F42</f>
        <v>32400</v>
      </c>
      <c r="K42" s="54">
        <f t="shared" si="3"/>
        <v>22680</v>
      </c>
      <c r="L42" s="54">
        <f t="shared" si="4"/>
        <v>12117.599999999999</v>
      </c>
      <c r="M42" s="69">
        <f>SUM(J42:L42)</f>
        <v>67197.600000000006</v>
      </c>
    </row>
    <row r="43" spans="1:15" s="5" customFormat="1" ht="18.75" customHeight="1">
      <c r="A43" s="68"/>
      <c r="B43" s="1">
        <f>0.01+B42</f>
        <v>3.0199999999999996</v>
      </c>
      <c r="C43" s="71" t="s">
        <v>176</v>
      </c>
      <c r="D43" s="1">
        <v>56</v>
      </c>
      <c r="E43" s="1" t="s">
        <v>197</v>
      </c>
      <c r="F43" s="70">
        <v>80</v>
      </c>
      <c r="G43" s="70">
        <v>56</v>
      </c>
      <c r="H43" s="70">
        <f t="shared" ref="H43:H60" si="5">0.22*(F43+G43)</f>
        <v>29.92</v>
      </c>
      <c r="I43" s="54">
        <f t="shared" si="1"/>
        <v>165.92000000000002</v>
      </c>
      <c r="J43" s="54">
        <f t="shared" ref="J43:J50" si="6">D43*F43</f>
        <v>4480</v>
      </c>
      <c r="K43" s="54">
        <f t="shared" si="3"/>
        <v>3136</v>
      </c>
      <c r="L43" s="54">
        <f t="shared" si="4"/>
        <v>1675.52</v>
      </c>
      <c r="M43" s="69">
        <f t="shared" ref="M43:M50" si="7">SUM(J43:L43)</f>
        <v>9291.52</v>
      </c>
    </row>
    <row r="44" spans="1:15" s="5" customFormat="1" ht="18.75" customHeight="1">
      <c r="A44" s="68"/>
      <c r="B44" s="1">
        <f t="shared" ref="B44:B50" si="8">B43+0.01</f>
        <v>3.0299999999999994</v>
      </c>
      <c r="C44" s="71" t="s">
        <v>273</v>
      </c>
      <c r="D44" s="1">
        <v>8</v>
      </c>
      <c r="E44" s="1" t="s">
        <v>197</v>
      </c>
      <c r="F44" s="70">
        <v>190</v>
      </c>
      <c r="G44" s="70">
        <v>133</v>
      </c>
      <c r="H44" s="70">
        <f t="shared" si="5"/>
        <v>71.06</v>
      </c>
      <c r="I44" s="54">
        <f t="shared" si="1"/>
        <v>394.06</v>
      </c>
      <c r="J44" s="54">
        <f t="shared" si="6"/>
        <v>1520</v>
      </c>
      <c r="K44" s="54">
        <f t="shared" si="3"/>
        <v>1064</v>
      </c>
      <c r="L44" s="54">
        <f t="shared" si="4"/>
        <v>568.48</v>
      </c>
      <c r="M44" s="69">
        <f t="shared" si="7"/>
        <v>3152.48</v>
      </c>
    </row>
    <row r="45" spans="1:15" ht="18.75" customHeight="1">
      <c r="A45" s="1"/>
      <c r="B45" s="1">
        <f t="shared" si="8"/>
        <v>3.0399999999999991</v>
      </c>
      <c r="C45" s="76" t="s">
        <v>275</v>
      </c>
      <c r="D45" s="1">
        <v>8</v>
      </c>
      <c r="E45" s="1" t="s">
        <v>1</v>
      </c>
      <c r="F45" s="54">
        <v>320</v>
      </c>
      <c r="G45" s="54">
        <v>224</v>
      </c>
      <c r="H45" s="70">
        <f t="shared" si="5"/>
        <v>119.68</v>
      </c>
      <c r="I45" s="54">
        <f t="shared" si="1"/>
        <v>663.68000000000006</v>
      </c>
      <c r="J45" s="54">
        <f t="shared" si="6"/>
        <v>2560</v>
      </c>
      <c r="K45" s="54">
        <f t="shared" si="3"/>
        <v>1792</v>
      </c>
      <c r="L45" s="54">
        <f t="shared" si="4"/>
        <v>957.44</v>
      </c>
      <c r="M45" s="69">
        <f t="shared" si="7"/>
        <v>5309.4400000000005</v>
      </c>
    </row>
    <row r="46" spans="1:15" ht="18.75" customHeight="1">
      <c r="A46" s="1"/>
      <c r="B46" s="1">
        <f t="shared" si="8"/>
        <v>3.0499999999999989</v>
      </c>
      <c r="C46" s="71" t="s">
        <v>274</v>
      </c>
      <c r="D46" s="1">
        <v>8</v>
      </c>
      <c r="E46" s="1" t="s">
        <v>197</v>
      </c>
      <c r="F46" s="54">
        <v>190</v>
      </c>
      <c r="G46" s="54">
        <v>133</v>
      </c>
      <c r="H46" s="70">
        <f t="shared" si="5"/>
        <v>71.06</v>
      </c>
      <c r="I46" s="54">
        <f t="shared" si="1"/>
        <v>394.06</v>
      </c>
      <c r="J46" s="54">
        <f t="shared" si="6"/>
        <v>1520</v>
      </c>
      <c r="K46" s="54">
        <f t="shared" si="3"/>
        <v>1064</v>
      </c>
      <c r="L46" s="54">
        <f t="shared" si="4"/>
        <v>568.48</v>
      </c>
      <c r="M46" s="69">
        <f t="shared" si="7"/>
        <v>3152.48</v>
      </c>
    </row>
    <row r="47" spans="1:15" ht="18.75" customHeight="1">
      <c r="A47" s="1"/>
      <c r="B47" s="1">
        <f t="shared" si="8"/>
        <v>3.0599999999999987</v>
      </c>
      <c r="C47" s="76" t="s">
        <v>238</v>
      </c>
      <c r="D47" s="1">
        <v>8</v>
      </c>
      <c r="E47" s="1" t="s">
        <v>1</v>
      </c>
      <c r="F47" s="54">
        <v>190</v>
      </c>
      <c r="G47" s="54">
        <v>133</v>
      </c>
      <c r="H47" s="70">
        <f t="shared" si="5"/>
        <v>71.06</v>
      </c>
      <c r="I47" s="54">
        <f t="shared" si="1"/>
        <v>394.06</v>
      </c>
      <c r="J47" s="54">
        <f t="shared" si="6"/>
        <v>1520</v>
      </c>
      <c r="K47" s="54">
        <f t="shared" si="3"/>
        <v>1064</v>
      </c>
      <c r="L47" s="54">
        <f t="shared" si="4"/>
        <v>568.48</v>
      </c>
      <c r="M47" s="69">
        <f t="shared" si="7"/>
        <v>3152.48</v>
      </c>
    </row>
    <row r="48" spans="1:15" ht="18.75" customHeight="1">
      <c r="A48" s="1"/>
      <c r="B48" s="1">
        <f t="shared" si="8"/>
        <v>3.0699999999999985</v>
      </c>
      <c r="C48" s="76" t="s">
        <v>239</v>
      </c>
      <c r="D48" s="1">
        <v>8</v>
      </c>
      <c r="E48" s="1" t="s">
        <v>1</v>
      </c>
      <c r="F48" s="54">
        <v>250</v>
      </c>
      <c r="G48" s="54">
        <v>175</v>
      </c>
      <c r="H48" s="70">
        <f t="shared" si="5"/>
        <v>93.5</v>
      </c>
      <c r="I48" s="54">
        <f t="shared" si="1"/>
        <v>518.5</v>
      </c>
      <c r="J48" s="54">
        <f t="shared" si="6"/>
        <v>2000</v>
      </c>
      <c r="K48" s="54">
        <f t="shared" si="3"/>
        <v>1400</v>
      </c>
      <c r="L48" s="54">
        <f t="shared" si="4"/>
        <v>748</v>
      </c>
      <c r="M48" s="69">
        <f t="shared" si="7"/>
        <v>4148</v>
      </c>
    </row>
    <row r="49" spans="1:15" ht="18.75" customHeight="1">
      <c r="A49" s="1"/>
      <c r="B49" s="1">
        <f t="shared" si="8"/>
        <v>3.0799999999999983</v>
      </c>
      <c r="C49" s="76" t="s">
        <v>175</v>
      </c>
      <c r="D49" s="1">
        <v>10</v>
      </c>
      <c r="E49" s="1" t="s">
        <v>134</v>
      </c>
      <c r="F49" s="54">
        <v>140</v>
      </c>
      <c r="G49" s="54">
        <v>98</v>
      </c>
      <c r="H49" s="70">
        <f t="shared" si="5"/>
        <v>52.36</v>
      </c>
      <c r="I49" s="54">
        <f t="shared" si="1"/>
        <v>290.36</v>
      </c>
      <c r="J49" s="54">
        <f t="shared" si="6"/>
        <v>1400</v>
      </c>
      <c r="K49" s="54">
        <f t="shared" si="3"/>
        <v>980</v>
      </c>
      <c r="L49" s="54">
        <f t="shared" si="4"/>
        <v>523.6</v>
      </c>
      <c r="M49" s="69">
        <f t="shared" si="7"/>
        <v>2903.6</v>
      </c>
    </row>
    <row r="50" spans="1:15" s="5" customFormat="1" ht="18.75" customHeight="1">
      <c r="A50" s="68"/>
      <c r="B50" s="1">
        <f t="shared" si="8"/>
        <v>3.0899999999999981</v>
      </c>
      <c r="C50" s="71" t="s">
        <v>166</v>
      </c>
      <c r="D50" s="1">
        <v>12</v>
      </c>
      <c r="E50" s="1" t="s">
        <v>105</v>
      </c>
      <c r="F50" s="70">
        <v>80</v>
      </c>
      <c r="G50" s="70">
        <v>56</v>
      </c>
      <c r="H50" s="70">
        <f t="shared" si="5"/>
        <v>29.92</v>
      </c>
      <c r="I50" s="54">
        <f t="shared" si="1"/>
        <v>165.92000000000002</v>
      </c>
      <c r="J50" s="54">
        <f t="shared" si="6"/>
        <v>960</v>
      </c>
      <c r="K50" s="54">
        <f t="shared" si="3"/>
        <v>672</v>
      </c>
      <c r="L50" s="54">
        <f t="shared" si="4"/>
        <v>359.04</v>
      </c>
      <c r="M50" s="69">
        <f t="shared" si="7"/>
        <v>1991.04</v>
      </c>
    </row>
    <row r="51" spans="1:15" s="5" customFormat="1" ht="18.75" customHeight="1">
      <c r="A51" s="68"/>
      <c r="B51" s="1"/>
      <c r="C51" s="67" t="s">
        <v>117</v>
      </c>
      <c r="D51" s="1"/>
      <c r="E51" s="1"/>
      <c r="F51" s="70"/>
      <c r="G51" s="70"/>
      <c r="H51" s="70"/>
      <c r="I51" s="54"/>
      <c r="J51" s="54"/>
      <c r="K51" s="54"/>
      <c r="L51" s="54"/>
      <c r="M51" s="69"/>
    </row>
    <row r="52" spans="1:15" s="5" customFormat="1" ht="18.75" customHeight="1">
      <c r="A52" s="68"/>
      <c r="B52" s="1">
        <f>B50+0.01</f>
        <v>3.0999999999999979</v>
      </c>
      <c r="C52" s="71" t="s">
        <v>168</v>
      </c>
      <c r="D52" s="1">
        <v>150</v>
      </c>
      <c r="E52" s="1" t="s">
        <v>197</v>
      </c>
      <c r="F52" s="70">
        <v>20</v>
      </c>
      <c r="G52" s="70">
        <v>14</v>
      </c>
      <c r="H52" s="70">
        <f t="shared" si="5"/>
        <v>7.48</v>
      </c>
      <c r="I52" s="54">
        <f t="shared" si="1"/>
        <v>41.480000000000004</v>
      </c>
      <c r="J52" s="54">
        <f t="shared" si="2"/>
        <v>3000</v>
      </c>
      <c r="K52" s="54">
        <f t="shared" si="3"/>
        <v>2100</v>
      </c>
      <c r="L52" s="54">
        <f t="shared" si="4"/>
        <v>1122</v>
      </c>
      <c r="M52" s="69">
        <f t="shared" ref="M52:M60" si="9">SUM(J52:L52)</f>
        <v>6222</v>
      </c>
    </row>
    <row r="53" spans="1:15" ht="18.75" customHeight="1">
      <c r="A53" s="1"/>
      <c r="B53" s="1">
        <f>B52+0.01</f>
        <v>3.1099999999999977</v>
      </c>
      <c r="C53" s="76" t="s">
        <v>167</v>
      </c>
      <c r="D53" s="1">
        <v>150</v>
      </c>
      <c r="E53" s="1" t="s">
        <v>197</v>
      </c>
      <c r="F53" s="54">
        <v>20</v>
      </c>
      <c r="G53" s="54">
        <v>14</v>
      </c>
      <c r="H53" s="70">
        <f t="shared" si="5"/>
        <v>7.48</v>
      </c>
      <c r="I53" s="54">
        <f t="shared" si="1"/>
        <v>41.480000000000004</v>
      </c>
      <c r="J53" s="54">
        <f t="shared" si="2"/>
        <v>3000</v>
      </c>
      <c r="K53" s="54">
        <f t="shared" si="3"/>
        <v>2100</v>
      </c>
      <c r="L53" s="54">
        <f t="shared" si="4"/>
        <v>1122</v>
      </c>
      <c r="M53" s="69">
        <f t="shared" si="9"/>
        <v>6222</v>
      </c>
    </row>
    <row r="54" spans="1:15" s="5" customFormat="1" ht="18.75" customHeight="1">
      <c r="A54" s="68"/>
      <c r="B54" s="1">
        <f t="shared" ref="B54:B60" si="10">B53+0.01</f>
        <v>3.1199999999999974</v>
      </c>
      <c r="C54" s="71" t="s">
        <v>171</v>
      </c>
      <c r="D54" s="1">
        <v>10</v>
      </c>
      <c r="E54" s="1" t="s">
        <v>197</v>
      </c>
      <c r="F54" s="70">
        <v>50</v>
      </c>
      <c r="G54" s="70">
        <v>35</v>
      </c>
      <c r="H54" s="70">
        <f t="shared" si="5"/>
        <v>18.7</v>
      </c>
      <c r="I54" s="54">
        <f t="shared" si="1"/>
        <v>103.7</v>
      </c>
      <c r="J54" s="54">
        <f t="shared" si="2"/>
        <v>500</v>
      </c>
      <c r="K54" s="54">
        <f t="shared" si="3"/>
        <v>350</v>
      </c>
      <c r="L54" s="54">
        <f t="shared" si="4"/>
        <v>187</v>
      </c>
      <c r="M54" s="69">
        <f t="shared" si="9"/>
        <v>1037</v>
      </c>
    </row>
    <row r="55" spans="1:15" s="5" customFormat="1" ht="18.75" customHeight="1">
      <c r="A55" s="68"/>
      <c r="B55" s="1">
        <f t="shared" si="10"/>
        <v>3.1299999999999972</v>
      </c>
      <c r="C55" s="71" t="s">
        <v>182</v>
      </c>
      <c r="D55" s="1">
        <v>7</v>
      </c>
      <c r="E55" s="1" t="s">
        <v>136</v>
      </c>
      <c r="F55" s="70">
        <v>660</v>
      </c>
      <c r="G55" s="70">
        <v>460</v>
      </c>
      <c r="H55" s="70">
        <f t="shared" si="5"/>
        <v>246.4</v>
      </c>
      <c r="I55" s="54">
        <f t="shared" si="1"/>
        <v>1366.4</v>
      </c>
      <c r="J55" s="54">
        <f t="shared" si="2"/>
        <v>4620</v>
      </c>
      <c r="K55" s="54">
        <f t="shared" si="3"/>
        <v>3220</v>
      </c>
      <c r="L55" s="54">
        <f t="shared" si="4"/>
        <v>1724.8</v>
      </c>
      <c r="M55" s="69">
        <f t="shared" si="9"/>
        <v>9564.7999999999993</v>
      </c>
    </row>
    <row r="56" spans="1:15" s="5" customFormat="1" ht="18.75" customHeight="1">
      <c r="A56" s="68"/>
      <c r="B56" s="1">
        <f t="shared" si="10"/>
        <v>3.139999999999997</v>
      </c>
      <c r="C56" s="71" t="s">
        <v>183</v>
      </c>
      <c r="D56" s="1">
        <v>12</v>
      </c>
      <c r="E56" s="1" t="s">
        <v>136</v>
      </c>
      <c r="F56" s="70">
        <v>650</v>
      </c>
      <c r="G56" s="70">
        <v>455</v>
      </c>
      <c r="H56" s="70">
        <f t="shared" si="5"/>
        <v>243.1</v>
      </c>
      <c r="I56" s="54">
        <f t="shared" si="1"/>
        <v>1348.1</v>
      </c>
      <c r="J56" s="54">
        <f t="shared" si="2"/>
        <v>7800</v>
      </c>
      <c r="K56" s="54">
        <f t="shared" si="3"/>
        <v>5460</v>
      </c>
      <c r="L56" s="54">
        <f t="shared" si="4"/>
        <v>2917.2</v>
      </c>
      <c r="M56" s="69">
        <f t="shared" si="9"/>
        <v>16177.2</v>
      </c>
    </row>
    <row r="57" spans="1:15" s="5" customFormat="1" ht="18.75" customHeight="1">
      <c r="A57" s="68"/>
      <c r="B57" s="1">
        <f t="shared" si="10"/>
        <v>3.1499999999999968</v>
      </c>
      <c r="C57" s="71" t="s">
        <v>184</v>
      </c>
      <c r="D57" s="1">
        <v>6</v>
      </c>
      <c r="E57" s="1" t="s">
        <v>136</v>
      </c>
      <c r="F57" s="70">
        <v>420</v>
      </c>
      <c r="G57" s="70">
        <v>290</v>
      </c>
      <c r="H57" s="70">
        <f t="shared" si="5"/>
        <v>156.19999999999999</v>
      </c>
      <c r="I57" s="54">
        <f t="shared" si="1"/>
        <v>866.2</v>
      </c>
      <c r="J57" s="54">
        <f t="shared" si="2"/>
        <v>2520</v>
      </c>
      <c r="K57" s="54">
        <f t="shared" si="3"/>
        <v>1740</v>
      </c>
      <c r="L57" s="54">
        <f t="shared" si="4"/>
        <v>937.19999999999993</v>
      </c>
      <c r="M57" s="69">
        <f t="shared" si="9"/>
        <v>5197.2</v>
      </c>
    </row>
    <row r="58" spans="1:15" s="5" customFormat="1" ht="18.75" customHeight="1">
      <c r="A58" s="68"/>
      <c r="B58" s="1">
        <f t="shared" si="10"/>
        <v>3.1599999999999966</v>
      </c>
      <c r="C58" s="71" t="s">
        <v>224</v>
      </c>
      <c r="D58" s="1">
        <v>6</v>
      </c>
      <c r="E58" s="1" t="s">
        <v>136</v>
      </c>
      <c r="F58" s="70">
        <v>860</v>
      </c>
      <c r="G58" s="70">
        <v>600</v>
      </c>
      <c r="H58" s="70">
        <f t="shared" si="5"/>
        <v>321.2</v>
      </c>
      <c r="I58" s="54">
        <f t="shared" si="1"/>
        <v>1781.2</v>
      </c>
      <c r="J58" s="54">
        <f t="shared" si="2"/>
        <v>5160</v>
      </c>
      <c r="K58" s="54">
        <f t="shared" si="3"/>
        <v>3600</v>
      </c>
      <c r="L58" s="54">
        <f t="shared" si="4"/>
        <v>1927.1999999999998</v>
      </c>
      <c r="M58" s="69">
        <f>SUM(J58:L58)</f>
        <v>10687.2</v>
      </c>
    </row>
    <row r="59" spans="1:15" s="5" customFormat="1" ht="18.75" customHeight="1">
      <c r="A59" s="68"/>
      <c r="B59" s="1">
        <f t="shared" si="10"/>
        <v>3.1699999999999964</v>
      </c>
      <c r="C59" s="71" t="s">
        <v>186</v>
      </c>
      <c r="D59" s="1">
        <v>2</v>
      </c>
      <c r="E59" s="1" t="s">
        <v>174</v>
      </c>
      <c r="F59" s="70">
        <v>180</v>
      </c>
      <c r="G59" s="70">
        <v>120</v>
      </c>
      <c r="H59" s="70">
        <f t="shared" si="5"/>
        <v>66</v>
      </c>
      <c r="I59" s="54">
        <f t="shared" si="1"/>
        <v>366</v>
      </c>
      <c r="J59" s="54">
        <f t="shared" si="2"/>
        <v>360</v>
      </c>
      <c r="K59" s="54">
        <f t="shared" si="3"/>
        <v>240</v>
      </c>
      <c r="L59" s="54">
        <f t="shared" si="4"/>
        <v>132</v>
      </c>
      <c r="M59" s="69">
        <f t="shared" si="9"/>
        <v>732</v>
      </c>
    </row>
    <row r="60" spans="1:15" s="5" customFormat="1" ht="18.75" customHeight="1">
      <c r="A60" s="68"/>
      <c r="B60" s="1">
        <f t="shared" si="10"/>
        <v>3.1799999999999962</v>
      </c>
      <c r="C60" s="71" t="s">
        <v>185</v>
      </c>
      <c r="D60" s="1">
        <v>2</v>
      </c>
      <c r="E60" s="1" t="s">
        <v>174</v>
      </c>
      <c r="F60" s="70">
        <v>620</v>
      </c>
      <c r="G60" s="70">
        <v>430</v>
      </c>
      <c r="H60" s="70">
        <f t="shared" si="5"/>
        <v>231</v>
      </c>
      <c r="I60" s="54">
        <f t="shared" si="1"/>
        <v>1281</v>
      </c>
      <c r="J60" s="54">
        <f t="shared" si="2"/>
        <v>1240</v>
      </c>
      <c r="K60" s="54">
        <f t="shared" si="3"/>
        <v>860</v>
      </c>
      <c r="L60" s="54">
        <f t="shared" si="4"/>
        <v>462</v>
      </c>
      <c r="M60" s="69">
        <f t="shared" si="9"/>
        <v>2562</v>
      </c>
    </row>
    <row r="61" spans="1:15" s="5" customFormat="1" ht="18.75" customHeight="1">
      <c r="A61" s="68"/>
      <c r="B61" s="1"/>
      <c r="C61" s="71"/>
      <c r="D61" s="1"/>
      <c r="E61" s="1"/>
      <c r="G61" s="82"/>
      <c r="H61" s="82"/>
      <c r="I61" s="54"/>
      <c r="J61" s="54"/>
      <c r="K61" s="54"/>
      <c r="L61" s="82" t="s">
        <v>208</v>
      </c>
      <c r="M61" s="81">
        <f>SUM(M42:M60)</f>
        <v>158700.04000000004</v>
      </c>
      <c r="O61" s="72">
        <f>M61</f>
        <v>158700.04000000004</v>
      </c>
    </row>
    <row r="62" spans="1:15" s="11" customFormat="1" ht="18.75" customHeight="1">
      <c r="A62" s="85">
        <v>4</v>
      </c>
      <c r="B62" s="74"/>
      <c r="C62" s="57" t="s">
        <v>3</v>
      </c>
      <c r="D62" s="1"/>
      <c r="E62" s="1"/>
      <c r="F62" s="54"/>
      <c r="G62" s="54"/>
      <c r="H62" s="54"/>
      <c r="I62" s="54"/>
      <c r="J62" s="54"/>
      <c r="K62" s="54"/>
      <c r="L62" s="54"/>
      <c r="M62" s="69"/>
      <c r="O62" s="15"/>
    </row>
    <row r="63" spans="1:15" s="5" customFormat="1" ht="18.75" customHeight="1">
      <c r="A63" s="68"/>
      <c r="B63" s="1">
        <v>4.01</v>
      </c>
      <c r="C63" s="67" t="s">
        <v>173</v>
      </c>
      <c r="D63" s="1">
        <v>71</v>
      </c>
      <c r="E63" s="1" t="s">
        <v>172</v>
      </c>
      <c r="F63" s="70">
        <v>1300</v>
      </c>
      <c r="G63" s="70">
        <v>390</v>
      </c>
      <c r="H63" s="70">
        <f>0.22*(F63+G63)</f>
        <v>371.8</v>
      </c>
      <c r="I63" s="54">
        <f t="shared" si="1"/>
        <v>2061.8000000000002</v>
      </c>
      <c r="J63" s="54">
        <f t="shared" si="2"/>
        <v>92300</v>
      </c>
      <c r="K63" s="54">
        <f t="shared" si="3"/>
        <v>27690</v>
      </c>
      <c r="L63" s="54">
        <f t="shared" si="4"/>
        <v>26397.8</v>
      </c>
      <c r="M63" s="69">
        <f>SUM(J63:L63)</f>
        <v>146387.79999999999</v>
      </c>
    </row>
    <row r="64" spans="1:15" ht="18.75" customHeight="1">
      <c r="A64" s="1"/>
      <c r="B64" s="1">
        <v>4.0199999999999996</v>
      </c>
      <c r="C64" s="53" t="s">
        <v>262</v>
      </c>
      <c r="D64" s="1">
        <v>38</v>
      </c>
      <c r="E64" s="1" t="s">
        <v>197</v>
      </c>
      <c r="F64" s="54">
        <v>230</v>
      </c>
      <c r="G64" s="54">
        <v>69</v>
      </c>
      <c r="H64" s="70">
        <f>0.22*(F64+G64)</f>
        <v>65.78</v>
      </c>
      <c r="I64" s="54">
        <f t="shared" si="1"/>
        <v>364.78</v>
      </c>
      <c r="J64" s="54">
        <f t="shared" si="2"/>
        <v>8740</v>
      </c>
      <c r="K64" s="54">
        <f t="shared" si="3"/>
        <v>2622</v>
      </c>
      <c r="L64" s="54">
        <f t="shared" si="4"/>
        <v>2499.64</v>
      </c>
      <c r="M64" s="69">
        <f>SUM(J64:L64)</f>
        <v>13861.64</v>
      </c>
    </row>
    <row r="65" spans="1:15" ht="18.75" customHeight="1">
      <c r="A65" s="1"/>
      <c r="B65" s="1">
        <v>4.03</v>
      </c>
      <c r="C65" s="53" t="s">
        <v>261</v>
      </c>
      <c r="D65" s="1">
        <v>3</v>
      </c>
      <c r="E65" s="1" t="s">
        <v>197</v>
      </c>
      <c r="F65" s="54">
        <v>400</v>
      </c>
      <c r="G65" s="54">
        <v>120</v>
      </c>
      <c r="H65" s="70">
        <f>0.22*(F65+G65)</f>
        <v>114.4</v>
      </c>
      <c r="I65" s="54">
        <f>SUM(F65:H65)</f>
        <v>634.4</v>
      </c>
      <c r="J65" s="54">
        <f>D65*F65</f>
        <v>1200</v>
      </c>
      <c r="K65" s="54">
        <f>D65*G65</f>
        <v>360</v>
      </c>
      <c r="L65" s="54">
        <f>D65*H65</f>
        <v>343.20000000000005</v>
      </c>
      <c r="M65" s="69">
        <f>SUM(J65:L65)</f>
        <v>1903.2</v>
      </c>
    </row>
    <row r="66" spans="1:15" ht="18.75" customHeight="1">
      <c r="A66" s="1"/>
      <c r="B66" s="1"/>
      <c r="C66" s="53"/>
      <c r="D66" s="1"/>
      <c r="E66" s="1"/>
      <c r="F66" s="87"/>
      <c r="G66" s="80"/>
      <c r="H66" s="80"/>
      <c r="I66" s="54"/>
      <c r="J66" s="54"/>
      <c r="K66" s="54"/>
      <c r="L66" s="80" t="s">
        <v>208</v>
      </c>
      <c r="M66" s="81">
        <f>SUM(M63:M65)</f>
        <v>162152.64000000001</v>
      </c>
      <c r="O66" s="15">
        <f>M66</f>
        <v>162152.64000000001</v>
      </c>
    </row>
    <row r="67" spans="1:15" s="11" customFormat="1" ht="18.75" customHeight="1">
      <c r="A67" s="85">
        <v>5</v>
      </c>
      <c r="B67" s="74"/>
      <c r="C67" s="57" t="s">
        <v>151</v>
      </c>
      <c r="D67" s="1"/>
      <c r="E67" s="1"/>
      <c r="F67" s="54"/>
      <c r="G67" s="54"/>
      <c r="H67" s="54"/>
      <c r="I67" s="54"/>
      <c r="J67" s="54"/>
      <c r="K67" s="54"/>
      <c r="L67" s="54"/>
      <c r="M67" s="69"/>
      <c r="O67" s="15"/>
    </row>
    <row r="68" spans="1:15" s="5" customFormat="1" ht="18.75" customHeight="1">
      <c r="A68" s="68"/>
      <c r="B68" s="1">
        <v>5.01</v>
      </c>
      <c r="C68" s="77" t="s">
        <v>191</v>
      </c>
      <c r="D68" s="1">
        <v>3</v>
      </c>
      <c r="E68" s="1" t="s">
        <v>197</v>
      </c>
      <c r="F68" s="70">
        <v>1270</v>
      </c>
      <c r="G68" s="70">
        <v>380</v>
      </c>
      <c r="H68" s="70">
        <f>0.22*(F68+G68)</f>
        <v>363</v>
      </c>
      <c r="I68" s="54">
        <f t="shared" si="1"/>
        <v>2013</v>
      </c>
      <c r="J68" s="54">
        <f t="shared" si="2"/>
        <v>3810</v>
      </c>
      <c r="K68" s="54">
        <f t="shared" si="3"/>
        <v>1140</v>
      </c>
      <c r="L68" s="54">
        <f>D68*H68</f>
        <v>1089</v>
      </c>
      <c r="M68" s="69">
        <f>SUM(J68:L68)</f>
        <v>6039</v>
      </c>
    </row>
    <row r="69" spans="1:15" ht="18.75" customHeight="1">
      <c r="A69" s="1"/>
      <c r="B69" s="1">
        <f>B68+0.01</f>
        <v>5.0199999999999996</v>
      </c>
      <c r="C69" s="77" t="s">
        <v>192</v>
      </c>
      <c r="D69" s="1">
        <v>6</v>
      </c>
      <c r="E69" s="1" t="s">
        <v>197</v>
      </c>
      <c r="F69" s="54">
        <v>760</v>
      </c>
      <c r="G69" s="54">
        <v>230</v>
      </c>
      <c r="H69" s="70">
        <f t="shared" ref="H69:H77" si="11">0.22*(F69+G69)</f>
        <v>217.8</v>
      </c>
      <c r="I69" s="54">
        <f t="shared" si="1"/>
        <v>1207.8</v>
      </c>
      <c r="J69" s="54">
        <f t="shared" si="2"/>
        <v>4560</v>
      </c>
      <c r="K69" s="54">
        <f t="shared" si="3"/>
        <v>1380</v>
      </c>
      <c r="L69" s="54">
        <f t="shared" ref="L69:L77" si="12">D69*H69</f>
        <v>1306.8000000000002</v>
      </c>
      <c r="M69" s="69">
        <f t="shared" ref="M69:M77" si="13">SUM(J69:L69)</f>
        <v>7246.8</v>
      </c>
    </row>
    <row r="70" spans="1:15" s="5" customFormat="1" ht="18.75" customHeight="1">
      <c r="A70" s="68"/>
      <c r="B70" s="1">
        <f t="shared" ref="B70:B77" si="14">B69+0.01</f>
        <v>5.0299999999999994</v>
      </c>
      <c r="C70" s="71" t="s">
        <v>103</v>
      </c>
      <c r="D70" s="1">
        <v>4</v>
      </c>
      <c r="E70" s="1" t="s">
        <v>105</v>
      </c>
      <c r="F70" s="70">
        <v>100</v>
      </c>
      <c r="G70" s="70">
        <v>27</v>
      </c>
      <c r="H70" s="70">
        <f t="shared" si="11"/>
        <v>27.94</v>
      </c>
      <c r="I70" s="54">
        <f t="shared" si="1"/>
        <v>154.94</v>
      </c>
      <c r="J70" s="54">
        <f t="shared" si="2"/>
        <v>400</v>
      </c>
      <c r="K70" s="54">
        <f t="shared" si="3"/>
        <v>108</v>
      </c>
      <c r="L70" s="54">
        <f t="shared" si="12"/>
        <v>111.76</v>
      </c>
      <c r="M70" s="69">
        <f t="shared" si="13"/>
        <v>619.76</v>
      </c>
    </row>
    <row r="71" spans="1:15" s="5" customFormat="1" ht="18.75" customHeight="1">
      <c r="A71" s="68"/>
      <c r="B71" s="1">
        <f t="shared" si="14"/>
        <v>5.0399999999999991</v>
      </c>
      <c r="C71" s="71" t="s">
        <v>240</v>
      </c>
      <c r="D71" s="1">
        <v>16</v>
      </c>
      <c r="E71" s="1" t="s">
        <v>197</v>
      </c>
      <c r="F71" s="70">
        <v>40</v>
      </c>
      <c r="G71" s="70">
        <v>12</v>
      </c>
      <c r="H71" s="70">
        <f t="shared" si="11"/>
        <v>11.44</v>
      </c>
      <c r="I71" s="54">
        <f t="shared" si="1"/>
        <v>63.44</v>
      </c>
      <c r="J71" s="54">
        <f t="shared" si="2"/>
        <v>640</v>
      </c>
      <c r="K71" s="54">
        <f t="shared" si="3"/>
        <v>192</v>
      </c>
      <c r="L71" s="54">
        <f t="shared" si="12"/>
        <v>183.04</v>
      </c>
      <c r="M71" s="69">
        <f t="shared" si="13"/>
        <v>1015.04</v>
      </c>
    </row>
    <row r="72" spans="1:15" s="5" customFormat="1" ht="18.75" customHeight="1">
      <c r="A72" s="68"/>
      <c r="B72" s="1">
        <f t="shared" si="14"/>
        <v>5.0499999999999989</v>
      </c>
      <c r="C72" s="78" t="s">
        <v>196</v>
      </c>
      <c r="D72" s="1">
        <v>16</v>
      </c>
      <c r="E72" s="1" t="s">
        <v>197</v>
      </c>
      <c r="F72" s="70">
        <v>740</v>
      </c>
      <c r="G72" s="70">
        <v>220</v>
      </c>
      <c r="H72" s="70">
        <f t="shared" si="11"/>
        <v>211.2</v>
      </c>
      <c r="I72" s="54">
        <f t="shared" si="1"/>
        <v>1171.2</v>
      </c>
      <c r="J72" s="54">
        <f t="shared" si="2"/>
        <v>11840</v>
      </c>
      <c r="K72" s="54">
        <f t="shared" si="3"/>
        <v>3520</v>
      </c>
      <c r="L72" s="54">
        <f t="shared" si="12"/>
        <v>3379.2</v>
      </c>
      <c r="M72" s="69">
        <f t="shared" si="13"/>
        <v>18739.2</v>
      </c>
    </row>
    <row r="73" spans="1:15" s="5" customFormat="1" ht="18.75" customHeight="1">
      <c r="A73" s="68"/>
      <c r="B73" s="1">
        <f t="shared" si="14"/>
        <v>5.0599999999999987</v>
      </c>
      <c r="C73" s="71" t="s">
        <v>198</v>
      </c>
      <c r="D73" s="1">
        <v>9</v>
      </c>
      <c r="E73" s="1" t="s">
        <v>197</v>
      </c>
      <c r="F73" s="70">
        <v>140</v>
      </c>
      <c r="G73" s="70">
        <v>40</v>
      </c>
      <c r="H73" s="70">
        <f t="shared" si="11"/>
        <v>39.6</v>
      </c>
      <c r="I73" s="54">
        <f t="shared" si="1"/>
        <v>219.6</v>
      </c>
      <c r="J73" s="54">
        <f t="shared" si="2"/>
        <v>1260</v>
      </c>
      <c r="K73" s="54">
        <f t="shared" si="3"/>
        <v>360</v>
      </c>
      <c r="L73" s="54">
        <f t="shared" si="12"/>
        <v>356.40000000000003</v>
      </c>
      <c r="M73" s="69">
        <f t="shared" si="13"/>
        <v>1976.4</v>
      </c>
    </row>
    <row r="74" spans="1:15" s="5" customFormat="1" ht="18.75" customHeight="1">
      <c r="A74" s="68"/>
      <c r="B74" s="1">
        <f t="shared" si="14"/>
        <v>5.0699999999999985</v>
      </c>
      <c r="C74" s="71" t="s">
        <v>199</v>
      </c>
      <c r="D74" s="1">
        <v>26</v>
      </c>
      <c r="E74" s="1" t="s">
        <v>197</v>
      </c>
      <c r="F74" s="70">
        <v>150</v>
      </c>
      <c r="G74" s="70">
        <v>45</v>
      </c>
      <c r="H74" s="70">
        <f t="shared" si="11"/>
        <v>42.9</v>
      </c>
      <c r="I74" s="54">
        <f t="shared" si="1"/>
        <v>237.9</v>
      </c>
      <c r="J74" s="54">
        <f t="shared" si="2"/>
        <v>3900</v>
      </c>
      <c r="K74" s="54">
        <f t="shared" si="3"/>
        <v>1170</v>
      </c>
      <c r="L74" s="54">
        <f t="shared" si="12"/>
        <v>1115.3999999999999</v>
      </c>
      <c r="M74" s="69">
        <f t="shared" si="13"/>
        <v>6185.4</v>
      </c>
    </row>
    <row r="75" spans="1:15" s="5" customFormat="1" ht="18.75" customHeight="1">
      <c r="A75" s="68"/>
      <c r="B75" s="1">
        <f t="shared" si="14"/>
        <v>5.0799999999999983</v>
      </c>
      <c r="C75" s="71" t="s">
        <v>204</v>
      </c>
      <c r="D75" s="1">
        <v>350</v>
      </c>
      <c r="E75" s="1" t="s">
        <v>197</v>
      </c>
      <c r="F75" s="70">
        <v>0.8</v>
      </c>
      <c r="G75" s="70">
        <v>0.25</v>
      </c>
      <c r="H75" s="70">
        <f t="shared" si="11"/>
        <v>0.23100000000000001</v>
      </c>
      <c r="I75" s="54">
        <f t="shared" si="1"/>
        <v>1.2810000000000001</v>
      </c>
      <c r="J75" s="54">
        <f t="shared" si="2"/>
        <v>280</v>
      </c>
      <c r="K75" s="54">
        <f t="shared" si="3"/>
        <v>87.5</v>
      </c>
      <c r="L75" s="54">
        <f t="shared" si="12"/>
        <v>80.850000000000009</v>
      </c>
      <c r="M75" s="69">
        <f t="shared" si="13"/>
        <v>448.35</v>
      </c>
    </row>
    <row r="76" spans="1:15" s="5" customFormat="1" ht="18.75" customHeight="1">
      <c r="A76" s="68"/>
      <c r="B76" s="1">
        <f t="shared" si="14"/>
        <v>5.0899999999999981</v>
      </c>
      <c r="C76" s="71" t="s">
        <v>203</v>
      </c>
      <c r="D76" s="1">
        <v>580</v>
      </c>
      <c r="E76" s="1" t="s">
        <v>197</v>
      </c>
      <c r="F76" s="70">
        <v>1.4</v>
      </c>
      <c r="G76" s="70">
        <v>0.4</v>
      </c>
      <c r="H76" s="70">
        <f t="shared" si="11"/>
        <v>0.39599999999999996</v>
      </c>
      <c r="I76" s="54">
        <f t="shared" si="1"/>
        <v>2.1959999999999997</v>
      </c>
      <c r="J76" s="54">
        <f t="shared" si="2"/>
        <v>812</v>
      </c>
      <c r="K76" s="54">
        <f t="shared" si="3"/>
        <v>232</v>
      </c>
      <c r="L76" s="54">
        <f t="shared" si="12"/>
        <v>229.67999999999998</v>
      </c>
      <c r="M76" s="69">
        <f t="shared" si="13"/>
        <v>1273.68</v>
      </c>
    </row>
    <row r="77" spans="1:15" s="5" customFormat="1" ht="18.75" customHeight="1">
      <c r="A77" s="68"/>
      <c r="B77" s="1">
        <f t="shared" si="14"/>
        <v>5.0999999999999979</v>
      </c>
      <c r="C77" s="71" t="s">
        <v>205</v>
      </c>
      <c r="D77" s="1">
        <v>1</v>
      </c>
      <c r="E77" s="1" t="s">
        <v>105</v>
      </c>
      <c r="F77" s="70">
        <v>95</v>
      </c>
      <c r="G77" s="70">
        <v>25</v>
      </c>
      <c r="H77" s="70">
        <f t="shared" si="11"/>
        <v>26.4</v>
      </c>
      <c r="I77" s="54">
        <f t="shared" si="1"/>
        <v>146.4</v>
      </c>
      <c r="J77" s="54">
        <f t="shared" si="2"/>
        <v>95</v>
      </c>
      <c r="K77" s="54">
        <f t="shared" si="3"/>
        <v>25</v>
      </c>
      <c r="L77" s="54">
        <f t="shared" si="12"/>
        <v>26.4</v>
      </c>
      <c r="M77" s="69">
        <f t="shared" si="13"/>
        <v>146.4</v>
      </c>
    </row>
    <row r="78" spans="1:15" s="5" customFormat="1" ht="18.75" customHeight="1">
      <c r="A78" s="68"/>
      <c r="B78" s="1"/>
      <c r="C78" s="71"/>
      <c r="D78" s="1"/>
      <c r="E78" s="1"/>
      <c r="G78" s="82"/>
      <c r="H78" s="82"/>
      <c r="I78" s="54"/>
      <c r="J78" s="54"/>
      <c r="K78" s="54"/>
      <c r="L78" s="82" t="s">
        <v>208</v>
      </c>
      <c r="M78" s="81">
        <f>SUM(M68:M77)</f>
        <v>43690.030000000006</v>
      </c>
      <c r="N78" s="75"/>
      <c r="O78" s="72">
        <f>M78</f>
        <v>43690.030000000006</v>
      </c>
    </row>
    <row r="79" spans="1:15" s="11" customFormat="1" ht="18.75" customHeight="1">
      <c r="A79" s="85">
        <v>6</v>
      </c>
      <c r="B79" s="74"/>
      <c r="C79" s="57" t="s">
        <v>242</v>
      </c>
      <c r="D79" s="1"/>
      <c r="E79" s="1"/>
      <c r="F79" s="54"/>
      <c r="G79" s="54"/>
      <c r="H79" s="54"/>
      <c r="I79" s="54"/>
      <c r="J79" s="54"/>
      <c r="K79" s="54"/>
      <c r="L79" s="54"/>
      <c r="M79" s="69"/>
      <c r="O79" s="15"/>
    </row>
    <row r="80" spans="1:15" s="5" customFormat="1" ht="18.75" customHeight="1">
      <c r="A80" s="68"/>
      <c r="B80" s="1">
        <v>6.01</v>
      </c>
      <c r="C80" s="67" t="s">
        <v>257</v>
      </c>
      <c r="D80" s="1">
        <v>1</v>
      </c>
      <c r="E80" s="1" t="s">
        <v>5</v>
      </c>
      <c r="F80" s="70">
        <v>0</v>
      </c>
      <c r="G80" s="70">
        <v>1500</v>
      </c>
      <c r="H80" s="70">
        <f>0.22*(F80+G80)</f>
        <v>330</v>
      </c>
      <c r="I80" s="54">
        <f>SUM(F80:H80)</f>
        <v>1830</v>
      </c>
      <c r="J80" s="54">
        <f>D80*F80</f>
        <v>0</v>
      </c>
      <c r="K80" s="54">
        <f>D80*G80</f>
        <v>1500</v>
      </c>
      <c r="L80" s="54">
        <f>D80*H80</f>
        <v>330</v>
      </c>
      <c r="M80" s="69">
        <f>SUM(J80:L80)</f>
        <v>1830</v>
      </c>
    </row>
    <row r="81" spans="1:15" s="5" customFormat="1" ht="18.75" customHeight="1">
      <c r="A81" s="68"/>
      <c r="B81" s="1">
        <v>6.02</v>
      </c>
      <c r="C81" s="67" t="s">
        <v>256</v>
      </c>
      <c r="D81" s="1">
        <v>1</v>
      </c>
      <c r="E81" s="1" t="s">
        <v>5</v>
      </c>
      <c r="F81" s="70">
        <v>4000</v>
      </c>
      <c r="G81" s="70">
        <v>1800</v>
      </c>
      <c r="H81" s="70">
        <f>0.22*(F81+G81)</f>
        <v>1276</v>
      </c>
      <c r="I81" s="54">
        <f>SUM(F81:H81)</f>
        <v>7076</v>
      </c>
      <c r="J81" s="54">
        <f>D81*F81</f>
        <v>4000</v>
      </c>
      <c r="K81" s="54">
        <f>D81*G81</f>
        <v>1800</v>
      </c>
      <c r="L81" s="54">
        <f>D81*H81</f>
        <v>1276</v>
      </c>
      <c r="M81" s="69">
        <f>SUM(J81:L81)</f>
        <v>7076</v>
      </c>
    </row>
    <row r="82" spans="1:15" s="11" customFormat="1" ht="18.75" customHeight="1">
      <c r="A82" s="74"/>
      <c r="B82" s="1">
        <v>6.03</v>
      </c>
      <c r="C82" s="56" t="s">
        <v>265</v>
      </c>
      <c r="D82" s="1">
        <v>1</v>
      </c>
      <c r="E82" s="1" t="s">
        <v>5</v>
      </c>
      <c r="F82" s="54">
        <v>6000</v>
      </c>
      <c r="G82" s="54">
        <v>2400</v>
      </c>
      <c r="H82" s="70">
        <f>0.22*(F82+G82)</f>
        <v>1848</v>
      </c>
      <c r="I82" s="54">
        <f>SUM(F82:H82)</f>
        <v>10248</v>
      </c>
      <c r="J82" s="54">
        <f>D82*F82</f>
        <v>6000</v>
      </c>
      <c r="K82" s="54">
        <f>D82*G82</f>
        <v>2400</v>
      </c>
      <c r="L82" s="54">
        <f>D82*H82</f>
        <v>1848</v>
      </c>
      <c r="M82" s="69">
        <f>SUM(J82:L82)</f>
        <v>10248</v>
      </c>
    </row>
    <row r="83" spans="1:15" ht="18.75" customHeight="1">
      <c r="A83" s="1"/>
      <c r="B83" s="1"/>
      <c r="C83" s="53" t="s">
        <v>190</v>
      </c>
      <c r="D83" s="1"/>
      <c r="E83" s="1"/>
      <c r="G83" s="80"/>
      <c r="H83" s="80"/>
      <c r="I83" s="54"/>
      <c r="J83" s="54"/>
      <c r="K83" s="54"/>
      <c r="L83" s="80" t="s">
        <v>208</v>
      </c>
      <c r="M83" s="81">
        <f>SUM(M80:M82)</f>
        <v>19154</v>
      </c>
      <c r="O83" s="15">
        <f>M83</f>
        <v>19154</v>
      </c>
    </row>
    <row r="84" spans="1:15" s="11" customFormat="1" ht="18.75" customHeight="1">
      <c r="A84" s="85">
        <v>7</v>
      </c>
      <c r="B84" s="74"/>
      <c r="C84" s="57" t="s">
        <v>141</v>
      </c>
      <c r="D84" s="1"/>
      <c r="E84" s="1"/>
      <c r="F84" s="54"/>
      <c r="G84" s="54"/>
      <c r="H84" s="54"/>
      <c r="I84" s="54"/>
      <c r="J84" s="54"/>
      <c r="K84" s="54"/>
      <c r="L84" s="54"/>
      <c r="M84" s="69"/>
      <c r="O84" s="15"/>
    </row>
    <row r="85" spans="1:15" s="5" customFormat="1" ht="18.75" customHeight="1">
      <c r="A85" s="68"/>
      <c r="B85" s="1">
        <v>7.01</v>
      </c>
      <c r="C85" s="67" t="s">
        <v>276</v>
      </c>
      <c r="D85" s="1">
        <v>2</v>
      </c>
      <c r="E85" s="1" t="s">
        <v>214</v>
      </c>
      <c r="F85" s="70">
        <v>3700</v>
      </c>
      <c r="G85" s="70">
        <v>1500</v>
      </c>
      <c r="H85" s="70">
        <f>0.22*(F85+G85)</f>
        <v>1144</v>
      </c>
      <c r="I85" s="54">
        <f>SUM(F85:H85)</f>
        <v>6344</v>
      </c>
      <c r="J85" s="54">
        <f t="shared" si="2"/>
        <v>7400</v>
      </c>
      <c r="K85" s="54">
        <f t="shared" si="3"/>
        <v>3000</v>
      </c>
      <c r="L85" s="54">
        <f t="shared" si="4"/>
        <v>2288</v>
      </c>
      <c r="M85" s="69">
        <f t="shared" ref="M85:M94" si="15">SUM(J85:L85)</f>
        <v>12688</v>
      </c>
    </row>
    <row r="86" spans="1:15" ht="18.75" customHeight="1">
      <c r="A86" s="1"/>
      <c r="B86" s="1">
        <f>B85+0.01</f>
        <v>7.02</v>
      </c>
      <c r="C86" s="53" t="s">
        <v>212</v>
      </c>
      <c r="D86" s="1">
        <v>8</v>
      </c>
      <c r="E86" s="1" t="s">
        <v>197</v>
      </c>
      <c r="F86" s="54">
        <v>200</v>
      </c>
      <c r="G86" s="54">
        <v>80</v>
      </c>
      <c r="H86" s="70">
        <f t="shared" ref="H86:H94" si="16">0.22*(F86+G86)</f>
        <v>61.6</v>
      </c>
      <c r="I86" s="54">
        <f t="shared" si="1"/>
        <v>341.6</v>
      </c>
      <c r="J86" s="54">
        <f t="shared" si="2"/>
        <v>1600</v>
      </c>
      <c r="K86" s="54">
        <f t="shared" si="3"/>
        <v>640</v>
      </c>
      <c r="L86" s="54">
        <f t="shared" si="4"/>
        <v>492.8</v>
      </c>
      <c r="M86" s="69">
        <f t="shared" si="15"/>
        <v>2732.8</v>
      </c>
    </row>
    <row r="87" spans="1:15" s="5" customFormat="1" ht="18.75" customHeight="1">
      <c r="A87" s="68"/>
      <c r="B87" s="1">
        <f t="shared" ref="B87:B94" si="17">B86+0.01</f>
        <v>7.0299999999999994</v>
      </c>
      <c r="C87" s="67" t="s">
        <v>279</v>
      </c>
      <c r="D87" s="1">
        <v>20</v>
      </c>
      <c r="E87" s="1" t="s">
        <v>197</v>
      </c>
      <c r="F87" s="70">
        <v>80</v>
      </c>
      <c r="G87" s="70">
        <v>32</v>
      </c>
      <c r="H87" s="70">
        <f t="shared" si="16"/>
        <v>24.64</v>
      </c>
      <c r="I87" s="54">
        <f t="shared" si="1"/>
        <v>136.63999999999999</v>
      </c>
      <c r="J87" s="54">
        <f t="shared" si="2"/>
        <v>1600</v>
      </c>
      <c r="K87" s="54">
        <f t="shared" si="3"/>
        <v>640</v>
      </c>
      <c r="L87" s="54">
        <f t="shared" si="4"/>
        <v>492.8</v>
      </c>
      <c r="M87" s="69">
        <f t="shared" si="15"/>
        <v>2732.8</v>
      </c>
    </row>
    <row r="88" spans="1:15" s="5" customFormat="1" ht="18.75" customHeight="1">
      <c r="A88" s="68"/>
      <c r="B88" s="1">
        <f t="shared" si="17"/>
        <v>7.0399999999999991</v>
      </c>
      <c r="C88" s="67" t="s">
        <v>264</v>
      </c>
      <c r="D88" s="1">
        <v>10</v>
      </c>
      <c r="E88" s="1" t="s">
        <v>197</v>
      </c>
      <c r="F88" s="70">
        <v>10</v>
      </c>
      <c r="G88" s="70">
        <v>4</v>
      </c>
      <c r="H88" s="70">
        <f t="shared" si="16"/>
        <v>3.08</v>
      </c>
      <c r="I88" s="54">
        <f>SUM(F88:H88)</f>
        <v>17.079999999999998</v>
      </c>
      <c r="J88" s="54">
        <f>D88*F88</f>
        <v>100</v>
      </c>
      <c r="K88" s="54">
        <f>D88*G88</f>
        <v>40</v>
      </c>
      <c r="L88" s="54">
        <f>D88*H88</f>
        <v>30.8</v>
      </c>
      <c r="M88" s="69">
        <f t="shared" si="15"/>
        <v>170.8</v>
      </c>
    </row>
    <row r="89" spans="1:15" s="5" customFormat="1" ht="18.75" customHeight="1">
      <c r="A89" s="68"/>
      <c r="B89" s="1">
        <f t="shared" si="17"/>
        <v>7.0499999999999989</v>
      </c>
      <c r="C89" s="67" t="s">
        <v>277</v>
      </c>
      <c r="D89" s="1">
        <v>3</v>
      </c>
      <c r="E89" s="1" t="s">
        <v>197</v>
      </c>
      <c r="F89" s="70">
        <v>20</v>
      </c>
      <c r="G89" s="70">
        <v>8</v>
      </c>
      <c r="H89" s="70">
        <f t="shared" si="16"/>
        <v>6.16</v>
      </c>
      <c r="I89" s="54">
        <f>SUM(F89:H89)</f>
        <v>34.159999999999997</v>
      </c>
      <c r="J89" s="54">
        <f>D89*F89</f>
        <v>60</v>
      </c>
      <c r="K89" s="54">
        <f>D89*G89</f>
        <v>24</v>
      </c>
      <c r="L89" s="54">
        <f>D89*H89</f>
        <v>18.48</v>
      </c>
      <c r="M89" s="69">
        <f t="shared" si="15"/>
        <v>102.48</v>
      </c>
    </row>
    <row r="90" spans="1:15" ht="18.75" customHeight="1">
      <c r="A90" s="1"/>
      <c r="B90" s="1">
        <f t="shared" si="17"/>
        <v>7.0599999999999987</v>
      </c>
      <c r="C90" s="53" t="s">
        <v>213</v>
      </c>
      <c r="D90" s="1">
        <v>9</v>
      </c>
      <c r="E90" s="1" t="s">
        <v>197</v>
      </c>
      <c r="F90" s="54">
        <v>25</v>
      </c>
      <c r="G90" s="54">
        <v>10</v>
      </c>
      <c r="H90" s="70">
        <f t="shared" si="16"/>
        <v>7.7</v>
      </c>
      <c r="I90" s="54">
        <f t="shared" si="1"/>
        <v>42.7</v>
      </c>
      <c r="J90" s="54">
        <f t="shared" si="2"/>
        <v>225</v>
      </c>
      <c r="K90" s="54">
        <f t="shared" si="3"/>
        <v>90</v>
      </c>
      <c r="L90" s="54">
        <f t="shared" si="4"/>
        <v>69.3</v>
      </c>
      <c r="M90" s="69">
        <f t="shared" si="15"/>
        <v>384.3</v>
      </c>
    </row>
    <row r="91" spans="1:15" ht="18.75" customHeight="1">
      <c r="A91" s="1"/>
      <c r="B91" s="1">
        <f t="shared" si="17"/>
        <v>7.0699999999999985</v>
      </c>
      <c r="C91" s="53" t="s">
        <v>278</v>
      </c>
      <c r="D91" s="1">
        <v>9</v>
      </c>
      <c r="E91" s="1" t="s">
        <v>197</v>
      </c>
      <c r="F91" s="54">
        <v>30</v>
      </c>
      <c r="G91" s="54">
        <v>12</v>
      </c>
      <c r="H91" s="70">
        <f t="shared" si="16"/>
        <v>9.24</v>
      </c>
      <c r="I91" s="54">
        <f t="shared" si="1"/>
        <v>51.24</v>
      </c>
      <c r="J91" s="54">
        <f>D91*F91</f>
        <v>270</v>
      </c>
      <c r="K91" s="54">
        <f>D91*G91</f>
        <v>108</v>
      </c>
      <c r="L91" s="54">
        <f>D91*H91</f>
        <v>83.16</v>
      </c>
      <c r="M91" s="69">
        <f t="shared" si="15"/>
        <v>461.15999999999997</v>
      </c>
    </row>
    <row r="92" spans="1:15" ht="18.75" customHeight="1">
      <c r="A92" s="1"/>
      <c r="B92" s="1">
        <f t="shared" si="17"/>
        <v>7.0799999999999983</v>
      </c>
      <c r="C92" s="53" t="s">
        <v>211</v>
      </c>
      <c r="D92" s="1">
        <v>10</v>
      </c>
      <c r="E92" s="1" t="s">
        <v>197</v>
      </c>
      <c r="F92" s="54">
        <v>30</v>
      </c>
      <c r="G92" s="54">
        <v>12</v>
      </c>
      <c r="H92" s="70">
        <f t="shared" si="16"/>
        <v>9.24</v>
      </c>
      <c r="I92" s="54">
        <f t="shared" si="1"/>
        <v>51.24</v>
      </c>
      <c r="J92" s="54">
        <f t="shared" si="2"/>
        <v>300</v>
      </c>
      <c r="K92" s="54">
        <f t="shared" si="3"/>
        <v>120</v>
      </c>
      <c r="L92" s="54">
        <f t="shared" si="4"/>
        <v>92.4</v>
      </c>
      <c r="M92" s="69">
        <f t="shared" si="15"/>
        <v>512.4</v>
      </c>
    </row>
    <row r="93" spans="1:15" ht="18.75" customHeight="1">
      <c r="A93" s="1"/>
      <c r="B93" s="1">
        <f t="shared" si="17"/>
        <v>7.0899999999999981</v>
      </c>
      <c r="C93" s="53" t="s">
        <v>263</v>
      </c>
      <c r="D93" s="1">
        <v>1</v>
      </c>
      <c r="E93" s="1" t="s">
        <v>197</v>
      </c>
      <c r="F93" s="54">
        <v>120</v>
      </c>
      <c r="G93" s="54">
        <v>50</v>
      </c>
      <c r="H93" s="70">
        <f t="shared" si="16"/>
        <v>37.4</v>
      </c>
      <c r="I93" s="54">
        <f t="shared" si="1"/>
        <v>207.4</v>
      </c>
      <c r="J93" s="54">
        <f>D93*F93</f>
        <v>120</v>
      </c>
      <c r="K93" s="54">
        <f>D93*G93</f>
        <v>50</v>
      </c>
      <c r="L93" s="54">
        <f>D93*H93</f>
        <v>37.4</v>
      </c>
      <c r="M93" s="69">
        <f t="shared" si="15"/>
        <v>207.4</v>
      </c>
    </row>
    <row r="94" spans="1:15" s="6" customFormat="1" ht="18.75" customHeight="1">
      <c r="A94" s="1"/>
      <c r="B94" s="1">
        <f t="shared" si="17"/>
        <v>7.0999999999999979</v>
      </c>
      <c r="C94" s="53" t="s">
        <v>280</v>
      </c>
      <c r="D94" s="1">
        <v>1</v>
      </c>
      <c r="E94" s="1" t="s">
        <v>5</v>
      </c>
      <c r="F94" s="54">
        <v>600</v>
      </c>
      <c r="G94" s="54">
        <v>240</v>
      </c>
      <c r="H94" s="70">
        <f t="shared" si="16"/>
        <v>184.8</v>
      </c>
      <c r="I94" s="54">
        <f t="shared" si="1"/>
        <v>1024.8</v>
      </c>
      <c r="J94" s="54">
        <f>D94*F94</f>
        <v>600</v>
      </c>
      <c r="K94" s="54">
        <f>D94*G94</f>
        <v>240</v>
      </c>
      <c r="L94" s="54">
        <f>D94*H94</f>
        <v>184.8</v>
      </c>
      <c r="M94" s="69">
        <f t="shared" si="15"/>
        <v>1024.8</v>
      </c>
    </row>
    <row r="95" spans="1:15" ht="18.75" customHeight="1">
      <c r="A95" s="1"/>
      <c r="B95" s="1"/>
      <c r="C95" s="53" t="s">
        <v>190</v>
      </c>
      <c r="D95" s="1"/>
      <c r="E95" s="1"/>
      <c r="G95" s="80"/>
      <c r="H95" s="80"/>
      <c r="I95" s="54"/>
      <c r="J95" s="54"/>
      <c r="K95" s="54"/>
      <c r="L95" s="80" t="s">
        <v>208</v>
      </c>
      <c r="M95" s="81">
        <f>SUM(M85:M94)</f>
        <v>21016.94</v>
      </c>
      <c r="O95" s="15">
        <f>M95</f>
        <v>21016.94</v>
      </c>
    </row>
    <row r="96" spans="1:15" s="11" customFormat="1" ht="18.75" customHeight="1">
      <c r="A96" s="85">
        <v>7</v>
      </c>
      <c r="B96" s="74"/>
      <c r="C96" s="57" t="s">
        <v>241</v>
      </c>
      <c r="D96" s="1"/>
      <c r="E96" s="1"/>
      <c r="F96" s="54"/>
      <c r="G96" s="54"/>
      <c r="H96" s="54"/>
      <c r="I96" s="54"/>
      <c r="J96" s="54"/>
      <c r="K96" s="54"/>
      <c r="L96" s="54"/>
      <c r="M96" s="69"/>
      <c r="O96" s="15"/>
    </row>
    <row r="97" spans="1:15" s="11" customFormat="1" ht="18.75" customHeight="1">
      <c r="A97" s="85"/>
      <c r="B97" s="74"/>
      <c r="C97" s="53" t="s">
        <v>243</v>
      </c>
      <c r="D97" s="1"/>
      <c r="E97" s="1"/>
      <c r="F97" s="54"/>
      <c r="G97" s="54"/>
      <c r="H97" s="54"/>
      <c r="I97" s="54"/>
      <c r="J97" s="54"/>
      <c r="K97" s="54"/>
      <c r="L97" s="54"/>
      <c r="M97" s="69"/>
      <c r="O97" s="15"/>
    </row>
    <row r="98" spans="1:15" s="5" customFormat="1" ht="18.75" customHeight="1">
      <c r="A98" s="68"/>
      <c r="B98" s="1">
        <v>7.01</v>
      </c>
      <c r="C98" s="71" t="s">
        <v>152</v>
      </c>
      <c r="D98" s="1">
        <v>2</v>
      </c>
      <c r="E98" s="1" t="s">
        <v>1</v>
      </c>
      <c r="F98" s="70">
        <v>1200</v>
      </c>
      <c r="G98" s="70">
        <v>480</v>
      </c>
      <c r="H98" s="70">
        <f>0.22*(F98+G98)</f>
        <v>369.6</v>
      </c>
      <c r="I98" s="54">
        <f t="shared" si="1"/>
        <v>2049.6</v>
      </c>
      <c r="J98" s="54">
        <f t="shared" si="2"/>
        <v>2400</v>
      </c>
      <c r="K98" s="54">
        <f t="shared" si="3"/>
        <v>960</v>
      </c>
      <c r="L98" s="54">
        <f t="shared" si="4"/>
        <v>739.2</v>
      </c>
      <c r="M98" s="69">
        <f>SUM(J98:L98)</f>
        <v>4099.2</v>
      </c>
    </row>
    <row r="99" spans="1:15" ht="18.75" customHeight="1">
      <c r="A99" s="1"/>
      <c r="B99" s="1">
        <f>B98+0.01</f>
        <v>7.02</v>
      </c>
      <c r="C99" s="76" t="s">
        <v>247</v>
      </c>
      <c r="D99" s="1">
        <v>2</v>
      </c>
      <c r="E99" s="1" t="s">
        <v>1</v>
      </c>
      <c r="F99" s="54">
        <v>400</v>
      </c>
      <c r="G99" s="54">
        <v>160</v>
      </c>
      <c r="H99" s="70">
        <f t="shared" ref="H99:H112" si="18">0.22*(F99+G99)</f>
        <v>123.2</v>
      </c>
      <c r="I99" s="54">
        <f t="shared" si="1"/>
        <v>683.2</v>
      </c>
      <c r="J99" s="54">
        <f t="shared" si="2"/>
        <v>800</v>
      </c>
      <c r="K99" s="54">
        <f t="shared" si="3"/>
        <v>320</v>
      </c>
      <c r="L99" s="54">
        <f t="shared" si="4"/>
        <v>246.4</v>
      </c>
      <c r="M99" s="69">
        <f t="shared" ref="M99:M112" si="19">SUM(J99:L99)</f>
        <v>1366.4</v>
      </c>
    </row>
    <row r="100" spans="1:15" ht="18.75" customHeight="1">
      <c r="A100" s="1"/>
      <c r="B100" s="1"/>
      <c r="C100" s="53" t="s">
        <v>244</v>
      </c>
      <c r="D100" s="1"/>
      <c r="E100" s="1"/>
      <c r="F100" s="54"/>
      <c r="G100" s="54"/>
      <c r="H100" s="70"/>
      <c r="I100" s="54"/>
      <c r="J100" s="54"/>
      <c r="K100" s="54"/>
      <c r="L100" s="54"/>
      <c r="M100" s="69"/>
    </row>
    <row r="101" spans="1:15" ht="18.75" customHeight="1">
      <c r="A101" s="1"/>
      <c r="B101" s="1">
        <f>B99+0.01</f>
        <v>7.0299999999999994</v>
      </c>
      <c r="C101" s="76" t="s">
        <v>250</v>
      </c>
      <c r="D101" s="1">
        <v>2</v>
      </c>
      <c r="E101" s="1" t="s">
        <v>197</v>
      </c>
      <c r="F101" s="54">
        <v>250</v>
      </c>
      <c r="G101" s="54">
        <v>100</v>
      </c>
      <c r="H101" s="70">
        <f t="shared" si="18"/>
        <v>77</v>
      </c>
      <c r="I101" s="54">
        <f t="shared" si="1"/>
        <v>427</v>
      </c>
      <c r="J101" s="54">
        <f t="shared" si="2"/>
        <v>500</v>
      </c>
      <c r="K101" s="54">
        <f t="shared" si="3"/>
        <v>200</v>
      </c>
      <c r="L101" s="54">
        <f t="shared" si="4"/>
        <v>154</v>
      </c>
      <c r="M101" s="69">
        <f t="shared" si="19"/>
        <v>854</v>
      </c>
    </row>
    <row r="102" spans="1:15" ht="18.75" customHeight="1">
      <c r="A102" s="1"/>
      <c r="B102" s="1">
        <f>B101+0.01</f>
        <v>7.0399999999999991</v>
      </c>
      <c r="C102" s="76" t="s">
        <v>245</v>
      </c>
      <c r="D102" s="1">
        <v>2</v>
      </c>
      <c r="E102" s="1" t="s">
        <v>197</v>
      </c>
      <c r="F102" s="54">
        <v>50</v>
      </c>
      <c r="G102" s="54">
        <v>20</v>
      </c>
      <c r="H102" s="70">
        <f t="shared" si="18"/>
        <v>15.4</v>
      </c>
      <c r="I102" s="54">
        <f t="shared" si="1"/>
        <v>85.4</v>
      </c>
      <c r="J102" s="54">
        <f t="shared" si="2"/>
        <v>100</v>
      </c>
      <c r="K102" s="54">
        <f t="shared" si="3"/>
        <v>40</v>
      </c>
      <c r="L102" s="54">
        <f t="shared" si="4"/>
        <v>30.8</v>
      </c>
      <c r="M102" s="69">
        <f t="shared" si="19"/>
        <v>170.8</v>
      </c>
    </row>
    <row r="103" spans="1:15" ht="18.75" customHeight="1">
      <c r="A103" s="1"/>
      <c r="B103" s="1">
        <f>B102+0.01</f>
        <v>7.0499999999999989</v>
      </c>
      <c r="C103" s="76" t="s">
        <v>246</v>
      </c>
      <c r="D103" s="1">
        <v>5</v>
      </c>
      <c r="E103" s="1" t="s">
        <v>197</v>
      </c>
      <c r="F103" s="54">
        <v>30</v>
      </c>
      <c r="G103" s="54">
        <v>12</v>
      </c>
      <c r="H103" s="70">
        <f t="shared" si="18"/>
        <v>9.24</v>
      </c>
      <c r="I103" s="54">
        <f t="shared" si="1"/>
        <v>51.24</v>
      </c>
      <c r="J103" s="54">
        <f t="shared" si="2"/>
        <v>150</v>
      </c>
      <c r="K103" s="54">
        <f t="shared" si="3"/>
        <v>60</v>
      </c>
      <c r="L103" s="54">
        <f t="shared" si="4"/>
        <v>46.2</v>
      </c>
      <c r="M103" s="69">
        <f t="shared" si="19"/>
        <v>256.2</v>
      </c>
    </row>
    <row r="104" spans="1:15" ht="18.75" customHeight="1">
      <c r="A104" s="1"/>
      <c r="B104" s="1">
        <f>B103+0.01</f>
        <v>7.0599999999999987</v>
      </c>
      <c r="C104" s="76" t="s">
        <v>248</v>
      </c>
      <c r="D104" s="1">
        <v>3</v>
      </c>
      <c r="E104" s="1" t="s">
        <v>197</v>
      </c>
      <c r="F104" s="54">
        <v>50</v>
      </c>
      <c r="G104" s="54">
        <v>20</v>
      </c>
      <c r="H104" s="70">
        <f t="shared" si="18"/>
        <v>15.4</v>
      </c>
      <c r="I104" s="54">
        <f t="shared" si="1"/>
        <v>85.4</v>
      </c>
      <c r="J104" s="54">
        <f t="shared" si="2"/>
        <v>150</v>
      </c>
      <c r="K104" s="54">
        <f t="shared" si="3"/>
        <v>60</v>
      </c>
      <c r="L104" s="54">
        <f t="shared" si="4"/>
        <v>46.2</v>
      </c>
      <c r="M104" s="69">
        <f t="shared" si="19"/>
        <v>256.2</v>
      </c>
    </row>
    <row r="105" spans="1:15" ht="18.75" customHeight="1">
      <c r="A105" s="1"/>
      <c r="B105" s="1">
        <f>B104+0.01</f>
        <v>7.0699999999999985</v>
      </c>
      <c r="C105" s="76" t="s">
        <v>249</v>
      </c>
      <c r="D105" s="1">
        <v>1</v>
      </c>
      <c r="E105" s="1" t="s">
        <v>197</v>
      </c>
      <c r="F105" s="54">
        <v>30</v>
      </c>
      <c r="G105" s="54">
        <v>12</v>
      </c>
      <c r="H105" s="70">
        <f t="shared" si="18"/>
        <v>9.24</v>
      </c>
      <c r="I105" s="54">
        <f t="shared" si="1"/>
        <v>51.24</v>
      </c>
      <c r="J105" s="54">
        <f t="shared" si="2"/>
        <v>30</v>
      </c>
      <c r="K105" s="54">
        <f t="shared" si="3"/>
        <v>12</v>
      </c>
      <c r="L105" s="54">
        <f t="shared" si="4"/>
        <v>9.24</v>
      </c>
      <c r="M105" s="69">
        <f t="shared" si="19"/>
        <v>51.24</v>
      </c>
    </row>
    <row r="106" spans="1:15" ht="18.75" customHeight="1">
      <c r="A106" s="1"/>
      <c r="B106" s="1">
        <f>B105+0.01</f>
        <v>7.0799999999999983</v>
      </c>
      <c r="C106" s="76" t="s">
        <v>263</v>
      </c>
      <c r="D106" s="1">
        <v>1</v>
      </c>
      <c r="E106" s="1" t="s">
        <v>197</v>
      </c>
      <c r="F106" s="54">
        <v>120</v>
      </c>
      <c r="G106" s="54">
        <v>50</v>
      </c>
      <c r="H106" s="70">
        <f t="shared" si="18"/>
        <v>37.4</v>
      </c>
      <c r="I106" s="54">
        <f t="shared" si="1"/>
        <v>207.4</v>
      </c>
      <c r="J106" s="54">
        <f t="shared" si="2"/>
        <v>120</v>
      </c>
      <c r="K106" s="54">
        <f t="shared" si="3"/>
        <v>50</v>
      </c>
      <c r="L106" s="54">
        <f t="shared" si="4"/>
        <v>37.4</v>
      </c>
      <c r="M106" s="69">
        <f t="shared" si="19"/>
        <v>207.4</v>
      </c>
    </row>
    <row r="107" spans="1:15" ht="18.75" customHeight="1">
      <c r="A107" s="1"/>
      <c r="B107" s="1"/>
      <c r="C107" s="56" t="s">
        <v>251</v>
      </c>
      <c r="D107" s="1"/>
      <c r="E107" s="1"/>
      <c r="F107" s="54"/>
      <c r="G107" s="80"/>
      <c r="H107" s="70"/>
      <c r="I107" s="54"/>
      <c r="J107" s="54"/>
      <c r="K107" s="54"/>
      <c r="L107" s="54"/>
      <c r="M107" s="69"/>
    </row>
    <row r="108" spans="1:15" ht="18.75" customHeight="1">
      <c r="A108" s="1"/>
      <c r="B108" s="1">
        <f>B106+0.01</f>
        <v>7.0899999999999981</v>
      </c>
      <c r="C108" s="76" t="s">
        <v>252</v>
      </c>
      <c r="D108" s="1">
        <v>2</v>
      </c>
      <c r="E108" s="1" t="s">
        <v>197</v>
      </c>
      <c r="F108" s="90">
        <v>250</v>
      </c>
      <c r="G108" s="54">
        <v>100</v>
      </c>
      <c r="H108" s="70">
        <f t="shared" si="18"/>
        <v>77</v>
      </c>
      <c r="I108" s="54">
        <f t="shared" si="1"/>
        <v>427</v>
      </c>
      <c r="J108" s="54">
        <f t="shared" si="2"/>
        <v>500</v>
      </c>
      <c r="K108" s="54">
        <f t="shared" si="3"/>
        <v>200</v>
      </c>
      <c r="L108" s="54">
        <f t="shared" si="4"/>
        <v>154</v>
      </c>
      <c r="M108" s="69">
        <f t="shared" si="19"/>
        <v>854</v>
      </c>
      <c r="O108" s="15"/>
    </row>
    <row r="109" spans="1:15" ht="18.75" customHeight="1">
      <c r="A109" s="1"/>
      <c r="B109" s="1">
        <f>B108+0.01</f>
        <v>7.0999999999999979</v>
      </c>
      <c r="C109" s="76" t="s">
        <v>281</v>
      </c>
      <c r="D109" s="1">
        <v>1</v>
      </c>
      <c r="E109" s="1" t="s">
        <v>197</v>
      </c>
      <c r="F109" s="54">
        <v>60</v>
      </c>
      <c r="G109" s="54">
        <v>25</v>
      </c>
      <c r="H109" s="70">
        <f t="shared" si="18"/>
        <v>18.7</v>
      </c>
      <c r="I109" s="54">
        <f t="shared" si="1"/>
        <v>103.7</v>
      </c>
      <c r="J109" s="54">
        <f t="shared" si="2"/>
        <v>60</v>
      </c>
      <c r="K109" s="54">
        <f t="shared" si="3"/>
        <v>25</v>
      </c>
      <c r="L109" s="54">
        <f t="shared" si="4"/>
        <v>18.7</v>
      </c>
      <c r="M109" s="69">
        <f t="shared" si="19"/>
        <v>103.7</v>
      </c>
    </row>
    <row r="110" spans="1:15" ht="18.75" customHeight="1">
      <c r="A110" s="1"/>
      <c r="B110" s="1">
        <f>B109+0.01</f>
        <v>7.1099999999999977</v>
      </c>
      <c r="C110" s="76" t="s">
        <v>253</v>
      </c>
      <c r="D110" s="1">
        <v>1</v>
      </c>
      <c r="E110" s="1" t="s">
        <v>197</v>
      </c>
      <c r="F110" s="54">
        <v>12</v>
      </c>
      <c r="G110" s="54">
        <v>5</v>
      </c>
      <c r="H110" s="70">
        <f t="shared" si="18"/>
        <v>3.74</v>
      </c>
      <c r="I110" s="54">
        <f t="shared" si="1"/>
        <v>20.740000000000002</v>
      </c>
      <c r="J110" s="54">
        <f t="shared" si="2"/>
        <v>12</v>
      </c>
      <c r="K110" s="54">
        <f t="shared" si="3"/>
        <v>5</v>
      </c>
      <c r="L110" s="54">
        <f t="shared" si="4"/>
        <v>3.74</v>
      </c>
      <c r="M110" s="69">
        <f t="shared" si="19"/>
        <v>20.740000000000002</v>
      </c>
    </row>
    <row r="111" spans="1:15" ht="18.75" customHeight="1">
      <c r="A111" s="1"/>
      <c r="B111" s="1">
        <f>B110+0.01</f>
        <v>7.1199999999999974</v>
      </c>
      <c r="C111" s="76" t="s">
        <v>254</v>
      </c>
      <c r="D111" s="1">
        <v>3</v>
      </c>
      <c r="E111" s="1" t="s">
        <v>197</v>
      </c>
      <c r="F111" s="54">
        <v>8</v>
      </c>
      <c r="G111" s="54">
        <v>3</v>
      </c>
      <c r="H111" s="70">
        <f t="shared" si="18"/>
        <v>2.42</v>
      </c>
      <c r="I111" s="54">
        <f t="shared" si="1"/>
        <v>13.42</v>
      </c>
      <c r="J111" s="54">
        <f t="shared" si="2"/>
        <v>24</v>
      </c>
      <c r="K111" s="54">
        <f t="shared" si="3"/>
        <v>9</v>
      </c>
      <c r="L111" s="54">
        <f t="shared" si="4"/>
        <v>7.26</v>
      </c>
      <c r="M111" s="69">
        <f t="shared" si="19"/>
        <v>40.26</v>
      </c>
    </row>
    <row r="112" spans="1:15" ht="18.75" customHeight="1">
      <c r="A112" s="1"/>
      <c r="B112" s="1">
        <f>B111+0.01</f>
        <v>7.1299999999999972</v>
      </c>
      <c r="C112" s="76" t="s">
        <v>255</v>
      </c>
      <c r="D112" s="1">
        <v>2</v>
      </c>
      <c r="E112" s="1" t="s">
        <v>197</v>
      </c>
      <c r="F112" s="54">
        <v>12</v>
      </c>
      <c r="G112" s="54">
        <v>5</v>
      </c>
      <c r="H112" s="70">
        <f t="shared" si="18"/>
        <v>3.74</v>
      </c>
      <c r="I112" s="54">
        <f t="shared" si="1"/>
        <v>20.740000000000002</v>
      </c>
      <c r="J112" s="54">
        <f t="shared" si="2"/>
        <v>24</v>
      </c>
      <c r="K112" s="54">
        <f t="shared" si="3"/>
        <v>10</v>
      </c>
      <c r="L112" s="54">
        <f t="shared" si="4"/>
        <v>7.48</v>
      </c>
      <c r="M112" s="69">
        <f t="shared" si="19"/>
        <v>41.480000000000004</v>
      </c>
    </row>
    <row r="113" spans="1:17" ht="18.75" customHeight="1">
      <c r="A113" s="1"/>
      <c r="B113" s="1"/>
      <c r="C113" s="76"/>
      <c r="D113" s="1"/>
      <c r="E113" s="1"/>
      <c r="F113" s="87"/>
      <c r="G113" s="80"/>
      <c r="H113" s="80"/>
      <c r="I113" s="54"/>
      <c r="J113" s="54"/>
      <c r="K113" s="54"/>
      <c r="L113" s="80" t="s">
        <v>208</v>
      </c>
      <c r="M113" s="81">
        <f>SUM(M98:M112)</f>
        <v>8321.619999999999</v>
      </c>
      <c r="O113" s="15">
        <f>M113</f>
        <v>8321.619999999999</v>
      </c>
    </row>
    <row r="114" spans="1:17" s="11" customFormat="1" ht="18.75" customHeight="1">
      <c r="A114" s="85">
        <v>8</v>
      </c>
      <c r="B114" s="74"/>
      <c r="C114" s="57" t="s">
        <v>154</v>
      </c>
      <c r="D114" s="1"/>
      <c r="E114" s="1"/>
      <c r="F114" s="54"/>
      <c r="G114" s="54"/>
      <c r="H114" s="54"/>
      <c r="I114" s="54"/>
      <c r="J114" s="54"/>
      <c r="K114" s="54"/>
      <c r="L114" s="54"/>
      <c r="M114" s="69"/>
      <c r="O114" s="15"/>
    </row>
    <row r="115" spans="1:17" s="5" customFormat="1" ht="18.75" customHeight="1">
      <c r="A115" s="68"/>
      <c r="B115" s="1"/>
      <c r="C115" s="67" t="s">
        <v>220</v>
      </c>
      <c r="D115" s="1"/>
      <c r="E115" s="1"/>
      <c r="F115" s="70"/>
      <c r="G115" s="70"/>
      <c r="H115" s="70"/>
      <c r="I115" s="54"/>
      <c r="J115" s="54"/>
      <c r="K115" s="54"/>
      <c r="L115" s="54"/>
      <c r="M115" s="69"/>
    </row>
    <row r="116" spans="1:17" s="5" customFormat="1" ht="18.75" customHeight="1">
      <c r="A116" s="68"/>
      <c r="B116" s="1">
        <v>8.1</v>
      </c>
      <c r="C116" s="71" t="s">
        <v>178</v>
      </c>
      <c r="D116" s="1">
        <v>8</v>
      </c>
      <c r="E116" s="1" t="s">
        <v>136</v>
      </c>
      <c r="F116" s="70">
        <v>290</v>
      </c>
      <c r="G116" s="70">
        <v>290</v>
      </c>
      <c r="H116" s="70">
        <f>0.22*(F116+G116)</f>
        <v>127.6</v>
      </c>
      <c r="I116" s="54">
        <f t="shared" si="1"/>
        <v>707.6</v>
      </c>
      <c r="J116" s="54">
        <f t="shared" si="2"/>
        <v>2320</v>
      </c>
      <c r="K116" s="54">
        <f t="shared" si="3"/>
        <v>2320</v>
      </c>
      <c r="L116" s="54">
        <f t="shared" si="4"/>
        <v>1020.8</v>
      </c>
      <c r="M116" s="69">
        <f>SUM(J116:L116)</f>
        <v>5660.8</v>
      </c>
    </row>
    <row r="117" spans="1:17" s="5" customFormat="1" ht="18.75" customHeight="1">
      <c r="A117" s="68"/>
      <c r="B117" s="1">
        <f>B116+0.01</f>
        <v>8.11</v>
      </c>
      <c r="C117" s="71" t="s">
        <v>227</v>
      </c>
      <c r="D117" s="1">
        <v>12</v>
      </c>
      <c r="E117" s="1" t="s">
        <v>136</v>
      </c>
      <c r="F117" s="70">
        <v>800</v>
      </c>
      <c r="G117" s="70">
        <v>800</v>
      </c>
      <c r="H117" s="70">
        <f t="shared" ref="H117:H123" si="20">0.22*(F117+G117)</f>
        <v>352</v>
      </c>
      <c r="I117" s="54">
        <f t="shared" si="1"/>
        <v>1952</v>
      </c>
      <c r="J117" s="54">
        <f t="shared" si="2"/>
        <v>9600</v>
      </c>
      <c r="K117" s="54">
        <f t="shared" si="3"/>
        <v>9600</v>
      </c>
      <c r="L117" s="54">
        <f t="shared" si="4"/>
        <v>4224</v>
      </c>
      <c r="M117" s="69">
        <f>SUM(J117:L117)</f>
        <v>23424</v>
      </c>
    </row>
    <row r="118" spans="1:17" s="5" customFormat="1" ht="18.75" customHeight="1">
      <c r="A118" s="68"/>
      <c r="B118" s="1">
        <f>B117+0.01</f>
        <v>8.1199999999999992</v>
      </c>
      <c r="C118" s="71" t="s">
        <v>179</v>
      </c>
      <c r="D118" s="1">
        <v>1</v>
      </c>
      <c r="E118" s="1" t="s">
        <v>5</v>
      </c>
      <c r="F118" s="70">
        <v>3000</v>
      </c>
      <c r="G118" s="70">
        <v>3000</v>
      </c>
      <c r="H118" s="70">
        <f t="shared" si="20"/>
        <v>1320</v>
      </c>
      <c r="I118" s="54">
        <f t="shared" si="1"/>
        <v>7320</v>
      </c>
      <c r="J118" s="54">
        <f t="shared" si="2"/>
        <v>3000</v>
      </c>
      <c r="K118" s="54">
        <f t="shared" si="3"/>
        <v>3000</v>
      </c>
      <c r="L118" s="54">
        <f t="shared" si="4"/>
        <v>1320</v>
      </c>
      <c r="M118" s="69">
        <f>SUM(J118:L118)</f>
        <v>7320</v>
      </c>
    </row>
    <row r="119" spans="1:17" ht="18.75" customHeight="1">
      <c r="A119" s="1"/>
      <c r="B119" s="1"/>
      <c r="C119" s="53" t="s">
        <v>221</v>
      </c>
      <c r="D119" s="1"/>
      <c r="E119" s="1"/>
      <c r="F119" s="54"/>
      <c r="G119" s="69"/>
      <c r="H119" s="70"/>
      <c r="I119" s="54"/>
      <c r="J119" s="54"/>
      <c r="K119" s="54"/>
      <c r="L119" s="54"/>
      <c r="M119" s="69"/>
      <c r="N119" s="4"/>
    </row>
    <row r="120" spans="1:17" s="5" customFormat="1" ht="18.75" customHeight="1">
      <c r="A120" s="53"/>
      <c r="B120" s="1">
        <f>B118+0.01</f>
        <v>8.129999999999999</v>
      </c>
      <c r="C120" s="71" t="s">
        <v>180</v>
      </c>
      <c r="D120" s="1">
        <v>2</v>
      </c>
      <c r="E120" s="1" t="s">
        <v>136</v>
      </c>
      <c r="F120" s="70">
        <v>600</v>
      </c>
      <c r="G120" s="70">
        <v>600</v>
      </c>
      <c r="H120" s="70">
        <f t="shared" si="20"/>
        <v>264</v>
      </c>
      <c r="I120" s="54">
        <f>SUM(F120:H120)</f>
        <v>1464</v>
      </c>
      <c r="J120" s="54">
        <f>D120*F120</f>
        <v>1200</v>
      </c>
      <c r="K120" s="54">
        <f>D120*G120</f>
        <v>1200</v>
      </c>
      <c r="L120" s="54">
        <f>D120*H120</f>
        <v>528</v>
      </c>
      <c r="M120" s="69">
        <f>SUM(J120:L120)</f>
        <v>2928</v>
      </c>
    </row>
    <row r="121" spans="1:17" s="5" customFormat="1" ht="18.75" customHeight="1">
      <c r="A121" s="53"/>
      <c r="B121" s="1">
        <f>B120+0.01</f>
        <v>8.1399999999999988</v>
      </c>
      <c r="C121" s="71" t="s">
        <v>178</v>
      </c>
      <c r="D121" s="1">
        <v>5</v>
      </c>
      <c r="E121" s="1" t="s">
        <v>136</v>
      </c>
      <c r="F121" s="70">
        <v>290</v>
      </c>
      <c r="G121" s="70">
        <v>290</v>
      </c>
      <c r="H121" s="70">
        <f t="shared" si="20"/>
        <v>127.6</v>
      </c>
      <c r="I121" s="54">
        <f>SUM(F121:H121)</f>
        <v>707.6</v>
      </c>
      <c r="J121" s="54">
        <f>D121*F121</f>
        <v>1450</v>
      </c>
      <c r="K121" s="54">
        <f>D121*G121</f>
        <v>1450</v>
      </c>
      <c r="L121" s="54">
        <f>D121*H121</f>
        <v>638</v>
      </c>
      <c r="M121" s="69">
        <f>SUM(J121:L121)</f>
        <v>3538</v>
      </c>
    </row>
    <row r="122" spans="1:17" s="5" customFormat="1" ht="18.75" customHeight="1">
      <c r="A122" s="53"/>
      <c r="B122" s="1">
        <f>B121+0.01</f>
        <v>8.1499999999999986</v>
      </c>
      <c r="C122" s="71" t="s">
        <v>227</v>
      </c>
      <c r="D122" s="1">
        <v>3</v>
      </c>
      <c r="E122" s="1" t="s">
        <v>136</v>
      </c>
      <c r="F122" s="70">
        <v>800</v>
      </c>
      <c r="G122" s="70">
        <v>800</v>
      </c>
      <c r="H122" s="70">
        <f t="shared" si="20"/>
        <v>352</v>
      </c>
      <c r="I122" s="54">
        <f>SUM(F122:H122)</f>
        <v>1952</v>
      </c>
      <c r="J122" s="54">
        <f>D122*F122</f>
        <v>2400</v>
      </c>
      <c r="K122" s="54">
        <f>D122*G122</f>
        <v>2400</v>
      </c>
      <c r="L122" s="54">
        <f>D122*H122</f>
        <v>1056</v>
      </c>
      <c r="M122" s="69">
        <f>SUM(J122:L122)</f>
        <v>5856</v>
      </c>
    </row>
    <row r="123" spans="1:17" s="5" customFormat="1" ht="18.75" customHeight="1">
      <c r="A123" s="68"/>
      <c r="B123" s="1">
        <f>B122+0.01</f>
        <v>8.1599999999999984</v>
      </c>
      <c r="C123" s="71" t="s">
        <v>179</v>
      </c>
      <c r="D123" s="1">
        <v>1</v>
      </c>
      <c r="E123" s="1" t="s">
        <v>5</v>
      </c>
      <c r="F123" s="70">
        <v>800</v>
      </c>
      <c r="G123" s="70">
        <v>800</v>
      </c>
      <c r="H123" s="70">
        <f t="shared" si="20"/>
        <v>352</v>
      </c>
      <c r="I123" s="54">
        <f>SUM(F123:H123)</f>
        <v>1952</v>
      </c>
      <c r="J123" s="54">
        <f>D123*F123</f>
        <v>800</v>
      </c>
      <c r="K123" s="54">
        <f>D123*G123</f>
        <v>800</v>
      </c>
      <c r="L123" s="54">
        <f>D123*H123</f>
        <v>352</v>
      </c>
      <c r="M123" s="69">
        <f>SUM(J123:L123)</f>
        <v>1952</v>
      </c>
      <c r="N123" s="75"/>
    </row>
    <row r="124" spans="1:17" ht="18.75" customHeight="1">
      <c r="A124" s="1"/>
      <c r="B124" s="1"/>
      <c r="C124" s="53" t="s">
        <v>258</v>
      </c>
      <c r="D124" s="1"/>
      <c r="E124" s="1"/>
      <c r="F124" s="54"/>
      <c r="G124" s="69"/>
      <c r="H124" s="70"/>
      <c r="I124" s="54"/>
      <c r="J124" s="54"/>
      <c r="K124" s="54"/>
      <c r="L124" s="54"/>
      <c r="M124" s="69"/>
      <c r="N124" s="4"/>
    </row>
    <row r="125" spans="1:17" s="5" customFormat="1" ht="18.75" customHeight="1">
      <c r="A125" s="53"/>
      <c r="B125" s="1">
        <f>B123+0.01</f>
        <v>8.1699999999999982</v>
      </c>
      <c r="C125" s="71" t="s">
        <v>259</v>
      </c>
      <c r="D125" s="1">
        <v>20</v>
      </c>
      <c r="E125" s="1" t="s">
        <v>260</v>
      </c>
      <c r="F125" s="70">
        <v>150</v>
      </c>
      <c r="G125" s="70">
        <v>100</v>
      </c>
      <c r="H125" s="70">
        <f>0.22*(F125+G125)</f>
        <v>55</v>
      </c>
      <c r="I125" s="54">
        <f>SUM(F125:H125)</f>
        <v>305</v>
      </c>
      <c r="J125" s="54">
        <f>D125*F125</f>
        <v>3000</v>
      </c>
      <c r="K125" s="54">
        <f>D125*G125</f>
        <v>2000</v>
      </c>
      <c r="L125" s="54">
        <f>D125*H125</f>
        <v>1100</v>
      </c>
      <c r="M125" s="69">
        <f>SUM(J125:L125)</f>
        <v>6100</v>
      </c>
    </row>
    <row r="126" spans="1:17" s="5" customFormat="1" ht="18.75" customHeight="1">
      <c r="A126" s="68"/>
      <c r="B126" s="1"/>
      <c r="C126" s="71"/>
      <c r="D126" s="1"/>
      <c r="E126" s="1"/>
      <c r="F126" s="88"/>
      <c r="G126" s="82"/>
      <c r="H126" s="82"/>
      <c r="I126" s="54"/>
      <c r="J126" s="54"/>
      <c r="K126" s="54"/>
      <c r="L126" s="82" t="s">
        <v>208</v>
      </c>
      <c r="M126" s="81">
        <f>SUM(M116:M125)</f>
        <v>56778.8</v>
      </c>
      <c r="N126" s="75"/>
      <c r="O126" s="72">
        <f>M126</f>
        <v>56778.8</v>
      </c>
    </row>
    <row r="127" spans="1:17" ht="18.75" customHeight="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</row>
    <row r="128" spans="1:17" ht="24.95" customHeight="1">
      <c r="A128" s="361" t="s">
        <v>233</v>
      </c>
      <c r="B128" s="362"/>
      <c r="C128" s="363"/>
      <c r="D128" s="372">
        <f>O128</f>
        <v>720853.47000000009</v>
      </c>
      <c r="E128" s="373"/>
      <c r="F128" s="373"/>
      <c r="G128" s="373"/>
      <c r="H128" s="373"/>
      <c r="I128" s="373"/>
      <c r="J128" s="373"/>
      <c r="K128" s="373"/>
      <c r="L128" s="373"/>
      <c r="M128" s="374"/>
      <c r="O128" s="72">
        <f>SUM(O28:O126)</f>
        <v>720853.47000000009</v>
      </c>
      <c r="Q128" s="4"/>
    </row>
    <row r="129" spans="1:17" ht="24.95" customHeight="1">
      <c r="A129" s="361" t="s">
        <v>234</v>
      </c>
      <c r="B129" s="362"/>
      <c r="C129" s="363"/>
      <c r="D129" s="364"/>
      <c r="E129" s="365"/>
      <c r="F129" s="365"/>
      <c r="G129" s="365"/>
      <c r="H129" s="365"/>
      <c r="I129" s="365"/>
      <c r="J129" s="365"/>
      <c r="K129" s="365"/>
      <c r="L129" s="365"/>
      <c r="M129" s="366"/>
      <c r="O129" s="72"/>
      <c r="Q129" s="4"/>
    </row>
    <row r="130" spans="1:17">
      <c r="A130" s="7"/>
      <c r="B130" s="7"/>
      <c r="C130" s="8"/>
      <c r="D130" s="7"/>
      <c r="E130" s="7"/>
    </row>
    <row r="131" spans="1:17">
      <c r="B131" s="10"/>
      <c r="C131" s="11"/>
      <c r="D131" s="12"/>
      <c r="E131" s="12"/>
      <c r="F131" s="13"/>
      <c r="G131" s="13"/>
      <c r="H131" s="13"/>
      <c r="I131" s="13"/>
      <c r="J131" s="13"/>
      <c r="K131" s="13"/>
      <c r="L131" s="13"/>
      <c r="M131" s="13"/>
    </row>
    <row r="132" spans="1:17">
      <c r="A132" s="10"/>
      <c r="B132" s="10"/>
      <c r="C132" s="11"/>
      <c r="D132" s="12"/>
      <c r="E132" s="12"/>
      <c r="F132" s="13"/>
      <c r="G132" s="13"/>
      <c r="H132" s="13"/>
      <c r="I132" s="13"/>
      <c r="J132" s="13"/>
      <c r="K132" s="13"/>
      <c r="L132" s="13"/>
      <c r="M132" s="13"/>
    </row>
    <row r="133" spans="1:17">
      <c r="A133" s="2"/>
      <c r="B133" s="2" t="s">
        <v>207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7">
      <c r="A134" s="2"/>
      <c r="B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7">
      <c r="A135" s="2"/>
      <c r="B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7">
      <c r="A136" s="2"/>
      <c r="B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7">
      <c r="A137" s="2"/>
      <c r="B137" s="11" t="s">
        <v>17</v>
      </c>
      <c r="D137" s="15"/>
      <c r="F137" s="2"/>
      <c r="G137" s="15"/>
      <c r="H137" s="2"/>
      <c r="I137" s="2"/>
      <c r="J137" s="2"/>
      <c r="K137" s="2"/>
      <c r="L137" s="2"/>
      <c r="M137" s="2"/>
    </row>
    <row r="138" spans="1:17">
      <c r="A138" s="2"/>
      <c r="B138" s="16" t="s">
        <v>94</v>
      </c>
      <c r="C138" s="16"/>
      <c r="D138" s="58"/>
      <c r="F138" s="2"/>
      <c r="G138" s="58"/>
      <c r="H138" s="2"/>
      <c r="I138" s="2"/>
      <c r="J138" s="2"/>
      <c r="K138" s="2"/>
      <c r="L138" s="2"/>
      <c r="M138" s="2"/>
    </row>
    <row r="139" spans="1:17">
      <c r="A139" s="2"/>
      <c r="B139" s="16"/>
      <c r="C139" s="16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7">
      <c r="A140" s="2"/>
      <c r="B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7">
      <c r="A141" s="2"/>
      <c r="B141" s="2" t="s">
        <v>97</v>
      </c>
      <c r="D141" s="2" t="s">
        <v>270</v>
      </c>
      <c r="E141" s="2"/>
      <c r="F141" s="2"/>
      <c r="G141" s="2"/>
      <c r="H141" s="2"/>
      <c r="I141" s="2"/>
      <c r="J141" s="2"/>
      <c r="K141" s="2"/>
      <c r="L141" s="2"/>
      <c r="M141" s="2"/>
    </row>
    <row r="142" spans="1:17">
      <c r="A142" s="2"/>
      <c r="B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7">
      <c r="A143" s="2"/>
      <c r="B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7">
      <c r="A144" s="2"/>
      <c r="B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16.5" customHeight="1">
      <c r="A145" s="2"/>
      <c r="B145" s="11" t="s">
        <v>93</v>
      </c>
      <c r="D145" s="11" t="s">
        <v>268</v>
      </c>
      <c r="E145" s="2"/>
      <c r="F145" s="2"/>
      <c r="G145" s="2"/>
      <c r="H145" s="2"/>
      <c r="I145" s="2"/>
      <c r="J145" s="2"/>
      <c r="K145" s="2"/>
      <c r="L145" s="2"/>
      <c r="M145" s="2"/>
    </row>
    <row r="146" spans="1:13">
      <c r="A146" s="2"/>
      <c r="B146" s="16" t="s">
        <v>14</v>
      </c>
      <c r="D146" s="16" t="s">
        <v>269</v>
      </c>
      <c r="E146" s="2"/>
      <c r="F146" s="2"/>
      <c r="G146" s="2"/>
      <c r="H146" s="2"/>
      <c r="I146" s="2"/>
      <c r="J146" s="2"/>
      <c r="K146" s="2"/>
      <c r="L146" s="2"/>
      <c r="M146" s="2"/>
    </row>
    <row r="147" spans="1:13">
      <c r="A147" s="2"/>
      <c r="C147" s="3"/>
      <c r="D147" s="2"/>
      <c r="F147" s="3"/>
      <c r="G147" s="3"/>
      <c r="H147" s="3"/>
      <c r="I147" s="3"/>
      <c r="J147" s="3"/>
      <c r="K147" s="3"/>
      <c r="L147" s="3"/>
      <c r="M147" s="3"/>
    </row>
    <row r="148" spans="1:13">
      <c r="A148" s="2"/>
      <c r="B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>
      <c r="A149" s="2"/>
      <c r="B149" s="2" t="s">
        <v>10</v>
      </c>
      <c r="D149" s="2" t="s">
        <v>11</v>
      </c>
      <c r="F149" s="2"/>
      <c r="G149" s="2"/>
      <c r="H149" s="2"/>
      <c r="I149" s="2"/>
      <c r="J149" s="2"/>
      <c r="K149" s="2"/>
      <c r="L149" s="2"/>
      <c r="M149" s="2"/>
    </row>
    <row r="150" spans="1:13">
      <c r="A150" s="2"/>
      <c r="B150" s="2"/>
      <c r="D150" s="2"/>
      <c r="F150" s="2"/>
      <c r="G150" s="2"/>
      <c r="H150" s="2"/>
      <c r="I150" s="2"/>
      <c r="J150" s="2"/>
      <c r="K150" s="2"/>
      <c r="L150" s="2"/>
      <c r="M150" s="2"/>
    </row>
    <row r="151" spans="1:13">
      <c r="D151" s="2"/>
    </row>
    <row r="152" spans="1:13">
      <c r="B152" s="11" t="s">
        <v>12</v>
      </c>
      <c r="C152" s="10"/>
      <c r="D152" s="10" t="s">
        <v>13</v>
      </c>
      <c r="F152" s="2"/>
      <c r="H152" s="2"/>
      <c r="I152" s="2"/>
    </row>
    <row r="153" spans="1:13">
      <c r="B153" s="16" t="s">
        <v>15</v>
      </c>
      <c r="C153" s="16"/>
      <c r="D153" s="16" t="s">
        <v>16</v>
      </c>
      <c r="F153" s="2"/>
      <c r="H153" s="2"/>
      <c r="I153" s="2"/>
    </row>
    <row r="154" spans="1:13">
      <c r="C154" s="3"/>
      <c r="D154" s="2"/>
      <c r="F154" s="3"/>
      <c r="G154" s="3"/>
      <c r="H154" s="3"/>
      <c r="I154" s="3"/>
    </row>
  </sheetData>
  <mergeCells count="13">
    <mergeCell ref="D128:M128"/>
    <mergeCell ref="D129:M129"/>
    <mergeCell ref="A128:C128"/>
    <mergeCell ref="A129:C129"/>
    <mergeCell ref="M7:M8"/>
    <mergeCell ref="A7:B8"/>
    <mergeCell ref="D7:D8"/>
    <mergeCell ref="C7:C8"/>
    <mergeCell ref="E7:E8"/>
    <mergeCell ref="F7:I7"/>
    <mergeCell ref="J7:J8"/>
    <mergeCell ref="K7:K8"/>
    <mergeCell ref="L7:L8"/>
  </mergeCells>
  <printOptions horizontalCentered="1" verticalCentered="1"/>
  <pageMargins left="0.5" right="0.5" top="0.5" bottom="0.8" header="0" footer="0.5"/>
  <pageSetup paperSize="10000" scale="46" orientation="landscape" r:id="rId1"/>
  <headerFooter>
    <oddFooter>&amp;CPage &amp;P of &amp;[3</oddFooter>
  </headerFooter>
  <rowBreaks count="2" manualBreakCount="2">
    <brk id="66" max="12" man="1"/>
    <brk id="11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44DB-D80D-489F-9586-6D66F3A108D0}">
  <sheetPr>
    <pageSetUpPr fitToPage="1"/>
  </sheetPr>
  <dimension ref="A1:G52"/>
  <sheetViews>
    <sheetView tabSelected="1" view="pageBreakPreview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8.710937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1</v>
      </c>
      <c r="B9" s="246" t="s">
        <v>352</v>
      </c>
      <c r="C9" s="247"/>
      <c r="D9" s="247"/>
      <c r="E9" s="247"/>
      <c r="F9" s="247"/>
    </row>
    <row r="10" spans="1:6" ht="30">
      <c r="A10" s="248">
        <v>1.2</v>
      </c>
      <c r="B10" s="249" t="s">
        <v>369</v>
      </c>
      <c r="C10" s="250">
        <v>1</v>
      </c>
      <c r="D10" s="251" t="s">
        <v>5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"/>
  <sheetViews>
    <sheetView workbookViewId="0">
      <selection activeCell="F26" sqref="F26"/>
    </sheetView>
  </sheetViews>
  <sheetFormatPr defaultRowHeight="12.75"/>
  <cols>
    <col min="2" max="2" width="29.85546875" customWidth="1"/>
  </cols>
  <sheetData>
    <row r="1" spans="1:8">
      <c r="C1" t="s">
        <v>100</v>
      </c>
      <c r="D1" s="59" t="s">
        <v>104</v>
      </c>
      <c r="E1" t="s">
        <v>101</v>
      </c>
      <c r="F1" t="s">
        <v>102</v>
      </c>
    </row>
    <row r="2" spans="1:8">
      <c r="A2" t="s">
        <v>107</v>
      </c>
      <c r="D2" s="59"/>
      <c r="H2">
        <f>SUM(F3:F8)</f>
        <v>7220</v>
      </c>
    </row>
    <row r="3" spans="1:8">
      <c r="B3" s="62" t="s">
        <v>129</v>
      </c>
      <c r="C3" s="63">
        <v>2</v>
      </c>
      <c r="D3" s="64" t="s">
        <v>18</v>
      </c>
      <c r="E3" s="63">
        <v>760</v>
      </c>
      <c r="F3" s="63">
        <f t="shared" ref="F3:F8" si="0">C3*E3</f>
        <v>1520</v>
      </c>
    </row>
    <row r="4" spans="1:8">
      <c r="B4" s="62" t="s">
        <v>131</v>
      </c>
      <c r="C4" s="63">
        <v>8</v>
      </c>
      <c r="D4" s="64" t="s">
        <v>18</v>
      </c>
      <c r="E4" s="63">
        <v>500</v>
      </c>
      <c r="F4" s="63">
        <f t="shared" si="0"/>
        <v>4000</v>
      </c>
    </row>
    <row r="5" spans="1:8">
      <c r="B5" s="63" t="s">
        <v>103</v>
      </c>
      <c r="C5" s="63">
        <v>8</v>
      </c>
      <c r="D5" s="64" t="s">
        <v>105</v>
      </c>
      <c r="E5" s="63">
        <v>90</v>
      </c>
      <c r="F5" s="63">
        <f t="shared" si="0"/>
        <v>720</v>
      </c>
    </row>
    <row r="6" spans="1:8">
      <c r="B6" s="61" t="s">
        <v>132</v>
      </c>
      <c r="C6">
        <v>1</v>
      </c>
      <c r="D6" s="59" t="s">
        <v>18</v>
      </c>
      <c r="E6">
        <v>400</v>
      </c>
      <c r="F6">
        <f t="shared" si="0"/>
        <v>400</v>
      </c>
    </row>
    <row r="7" spans="1:8">
      <c r="B7" t="s">
        <v>106</v>
      </c>
      <c r="C7">
        <v>10</v>
      </c>
      <c r="D7" s="59" t="s">
        <v>18</v>
      </c>
      <c r="E7">
        <v>50</v>
      </c>
      <c r="F7">
        <f t="shared" si="0"/>
        <v>500</v>
      </c>
    </row>
    <row r="8" spans="1:8">
      <c r="B8" s="62" t="s">
        <v>127</v>
      </c>
      <c r="C8" s="63">
        <v>80</v>
      </c>
      <c r="D8" s="64" t="s">
        <v>18</v>
      </c>
      <c r="E8" s="63">
        <v>1</v>
      </c>
      <c r="F8" s="63">
        <f t="shared" si="0"/>
        <v>80</v>
      </c>
    </row>
    <row r="9" spans="1:8">
      <c r="A9" t="s">
        <v>117</v>
      </c>
      <c r="H9">
        <f>F10</f>
        <v>2250</v>
      </c>
    </row>
    <row r="10" spans="1:8">
      <c r="B10" s="62" t="s">
        <v>118</v>
      </c>
      <c r="C10" s="63">
        <v>9</v>
      </c>
      <c r="D10" s="63" t="s">
        <v>119</v>
      </c>
      <c r="E10" s="63">
        <v>250</v>
      </c>
      <c r="F10" s="63">
        <f>C10*E10</f>
        <v>2250</v>
      </c>
    </row>
    <row r="11" spans="1:8">
      <c r="A11" t="s">
        <v>120</v>
      </c>
      <c r="H11">
        <f>SUM(F12:F13)</f>
        <v>2260</v>
      </c>
    </row>
    <row r="12" spans="1:8">
      <c r="B12" s="63" t="s">
        <v>121</v>
      </c>
      <c r="C12" s="63">
        <v>34</v>
      </c>
      <c r="D12" s="63" t="s">
        <v>122</v>
      </c>
      <c r="E12" s="63">
        <v>40</v>
      </c>
      <c r="F12" s="63">
        <f>C12*E12</f>
        <v>1360</v>
      </c>
    </row>
    <row r="13" spans="1:8">
      <c r="B13" s="63" t="s">
        <v>123</v>
      </c>
      <c r="C13" s="63">
        <v>1</v>
      </c>
      <c r="D13" s="63" t="s">
        <v>124</v>
      </c>
      <c r="E13" s="63">
        <v>900</v>
      </c>
      <c r="F13" s="63">
        <f>C13*E13</f>
        <v>900</v>
      </c>
    </row>
    <row r="15" spans="1:8">
      <c r="E15" s="60" t="s">
        <v>126</v>
      </c>
      <c r="F15" s="60">
        <f>SUM(F3:F13)</f>
        <v>11730</v>
      </c>
      <c r="H15">
        <f>SUM(H1:H13)</f>
        <v>11730</v>
      </c>
    </row>
  </sheetData>
  <pageMargins left="0.7" right="0.7" top="0.75" bottom="0.75" header="0.3" footer="0.3"/>
  <pageSetup paperSize="9" orientation="portrait" horizontalDpi="4294967293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9"/>
  <sheetViews>
    <sheetView topLeftCell="A25" zoomScale="115" zoomScaleNormal="115" workbookViewId="0">
      <selection activeCell="H44" sqref="H44"/>
    </sheetView>
  </sheetViews>
  <sheetFormatPr defaultRowHeight="12.75"/>
  <cols>
    <col min="2" max="2" width="29.85546875" customWidth="1"/>
  </cols>
  <sheetData>
    <row r="1" spans="1:8">
      <c r="C1" t="s">
        <v>100</v>
      </c>
      <c r="D1" s="59" t="s">
        <v>104</v>
      </c>
      <c r="E1" t="s">
        <v>101</v>
      </c>
      <c r="F1" t="s">
        <v>102</v>
      </c>
    </row>
    <row r="2" spans="1:8">
      <c r="A2" t="s">
        <v>107</v>
      </c>
      <c r="D2" s="59"/>
      <c r="H2">
        <f>SUM(F3:F8)</f>
        <v>9780</v>
      </c>
    </row>
    <row r="3" spans="1:8">
      <c r="B3" s="62" t="s">
        <v>129</v>
      </c>
      <c r="C3" s="63">
        <v>3</v>
      </c>
      <c r="D3" s="64" t="s">
        <v>18</v>
      </c>
      <c r="E3" s="63">
        <v>760</v>
      </c>
      <c r="F3" s="63">
        <f>C3*E3</f>
        <v>2280</v>
      </c>
    </row>
    <row r="4" spans="1:8">
      <c r="B4" s="62" t="s">
        <v>131</v>
      </c>
      <c r="C4" s="63">
        <v>11.5</v>
      </c>
      <c r="D4" s="64" t="s">
        <v>18</v>
      </c>
      <c r="E4" s="63">
        <v>500</v>
      </c>
      <c r="F4" s="63">
        <f t="shared" ref="F4:F20" si="0">C4*E4</f>
        <v>5750</v>
      </c>
    </row>
    <row r="5" spans="1:8">
      <c r="B5" s="63" t="s">
        <v>103</v>
      </c>
      <c r="C5" s="63">
        <v>12</v>
      </c>
      <c r="D5" s="64" t="s">
        <v>105</v>
      </c>
      <c r="E5" s="63">
        <v>90</v>
      </c>
      <c r="F5" s="63">
        <f t="shared" si="0"/>
        <v>1080</v>
      </c>
    </row>
    <row r="6" spans="1:8">
      <c r="B6" s="61" t="s">
        <v>132</v>
      </c>
      <c r="C6">
        <v>1.2</v>
      </c>
      <c r="D6" s="59" t="s">
        <v>18</v>
      </c>
      <c r="E6">
        <v>400</v>
      </c>
      <c r="F6">
        <f t="shared" si="0"/>
        <v>480</v>
      </c>
    </row>
    <row r="7" spans="1:8">
      <c r="B7" t="s">
        <v>106</v>
      </c>
      <c r="C7">
        <v>14</v>
      </c>
      <c r="D7" s="59" t="s">
        <v>18</v>
      </c>
      <c r="E7">
        <v>5</v>
      </c>
      <c r="F7">
        <f t="shared" si="0"/>
        <v>70</v>
      </c>
    </row>
    <row r="8" spans="1:8">
      <c r="B8" s="62" t="s">
        <v>127</v>
      </c>
      <c r="C8" s="63">
        <v>120</v>
      </c>
      <c r="D8" s="64" t="s">
        <v>18</v>
      </c>
      <c r="E8" s="63">
        <v>1</v>
      </c>
      <c r="F8" s="63">
        <f>C8*E8</f>
        <v>120</v>
      </c>
    </row>
    <row r="9" spans="1:8">
      <c r="A9" t="s">
        <v>108</v>
      </c>
      <c r="H9">
        <f>SUM(F10:F13)</f>
        <v>2576</v>
      </c>
    </row>
    <row r="10" spans="1:8">
      <c r="B10" t="s">
        <v>99</v>
      </c>
      <c r="C10">
        <v>1</v>
      </c>
      <c r="D10" s="59" t="s">
        <v>18</v>
      </c>
      <c r="E10">
        <v>1200</v>
      </c>
      <c r="F10">
        <f t="shared" si="0"/>
        <v>1200</v>
      </c>
    </row>
    <row r="11" spans="1:8">
      <c r="B11" s="61" t="s">
        <v>128</v>
      </c>
      <c r="C11">
        <v>1</v>
      </c>
      <c r="D11" s="59" t="s">
        <v>18</v>
      </c>
      <c r="E11">
        <v>1000</v>
      </c>
      <c r="F11">
        <f t="shared" si="0"/>
        <v>1000</v>
      </c>
    </row>
    <row r="12" spans="1:8">
      <c r="B12" t="s">
        <v>109</v>
      </c>
      <c r="C12">
        <v>7.2</v>
      </c>
      <c r="D12" s="59" t="s">
        <v>98</v>
      </c>
      <c r="E12">
        <v>30</v>
      </c>
      <c r="F12">
        <f t="shared" si="0"/>
        <v>216</v>
      </c>
    </row>
    <row r="13" spans="1:8">
      <c r="B13" t="s">
        <v>110</v>
      </c>
      <c r="C13">
        <v>1</v>
      </c>
      <c r="D13" s="65" t="s">
        <v>133</v>
      </c>
      <c r="E13">
        <v>160</v>
      </c>
      <c r="F13">
        <f t="shared" si="0"/>
        <v>160</v>
      </c>
    </row>
    <row r="14" spans="1:8">
      <c r="A14" t="s">
        <v>111</v>
      </c>
      <c r="H14">
        <f>SUM(F15:F20)</f>
        <v>14356</v>
      </c>
    </row>
    <row r="15" spans="1:8">
      <c r="B15" s="63" t="s">
        <v>112</v>
      </c>
      <c r="C15" s="63">
        <v>7.2</v>
      </c>
      <c r="D15" s="64" t="s">
        <v>98</v>
      </c>
      <c r="E15" s="63">
        <v>625</v>
      </c>
      <c r="F15" s="63">
        <f t="shared" si="0"/>
        <v>4500</v>
      </c>
    </row>
    <row r="16" spans="1:8">
      <c r="B16" s="63" t="s">
        <v>113</v>
      </c>
      <c r="C16" s="63">
        <v>1</v>
      </c>
      <c r="D16" s="64" t="s">
        <v>1</v>
      </c>
      <c r="E16" s="63">
        <v>1079</v>
      </c>
      <c r="F16" s="63">
        <f t="shared" si="0"/>
        <v>1079</v>
      </c>
    </row>
    <row r="17" spans="1:8">
      <c r="B17" s="63" t="s">
        <v>114</v>
      </c>
      <c r="C17" s="63">
        <v>7.2</v>
      </c>
      <c r="D17" s="64" t="s">
        <v>98</v>
      </c>
      <c r="E17" s="63">
        <v>590</v>
      </c>
      <c r="F17" s="63">
        <f t="shared" si="0"/>
        <v>4248</v>
      </c>
    </row>
    <row r="18" spans="1:8">
      <c r="B18" s="63" t="s">
        <v>115</v>
      </c>
      <c r="C18" s="63">
        <v>1</v>
      </c>
      <c r="D18" s="64" t="s">
        <v>1</v>
      </c>
      <c r="E18" s="63">
        <v>929</v>
      </c>
      <c r="F18" s="63">
        <f t="shared" si="0"/>
        <v>929</v>
      </c>
    </row>
    <row r="19" spans="1:8">
      <c r="B19" s="63" t="s">
        <v>130</v>
      </c>
      <c r="C19" s="63">
        <v>8</v>
      </c>
      <c r="D19" s="64" t="s">
        <v>18</v>
      </c>
      <c r="E19" s="63">
        <v>270</v>
      </c>
      <c r="F19" s="63">
        <f t="shared" si="0"/>
        <v>2160</v>
      </c>
    </row>
    <row r="20" spans="1:8">
      <c r="B20" s="63" t="s">
        <v>116</v>
      </c>
      <c r="C20" s="63">
        <v>8</v>
      </c>
      <c r="D20" s="64" t="s">
        <v>18</v>
      </c>
      <c r="E20" s="63">
        <v>180</v>
      </c>
      <c r="F20" s="63">
        <f t="shared" si="0"/>
        <v>1440</v>
      </c>
    </row>
    <row r="21" spans="1:8">
      <c r="A21" t="s">
        <v>118</v>
      </c>
      <c r="H21">
        <f>F23</f>
        <v>3250</v>
      </c>
    </row>
    <row r="22" spans="1:8">
      <c r="B22" s="63" t="s">
        <v>135</v>
      </c>
    </row>
    <row r="23" spans="1:8">
      <c r="B23" s="62" t="s">
        <v>117</v>
      </c>
      <c r="C23" s="63">
        <v>13</v>
      </c>
      <c r="D23" s="63" t="s">
        <v>119</v>
      </c>
      <c r="E23" s="63">
        <v>250</v>
      </c>
      <c r="F23" s="63">
        <f>C23*E23</f>
        <v>3250</v>
      </c>
    </row>
    <row r="24" spans="1:8">
      <c r="A24" t="s">
        <v>120</v>
      </c>
      <c r="H24">
        <f>SUM(F25:F27)</f>
        <v>3400</v>
      </c>
    </row>
    <row r="25" spans="1:8">
      <c r="B25" s="63" t="s">
        <v>121</v>
      </c>
      <c r="C25" s="63">
        <v>50</v>
      </c>
      <c r="D25" s="63" t="s">
        <v>122</v>
      </c>
      <c r="E25" s="63">
        <v>40</v>
      </c>
      <c r="F25" s="63">
        <f>C25*E25</f>
        <v>2000</v>
      </c>
    </row>
    <row r="26" spans="1:8">
      <c r="B26" s="63" t="s">
        <v>123</v>
      </c>
      <c r="C26" s="63">
        <v>1</v>
      </c>
      <c r="D26" s="63" t="s">
        <v>124</v>
      </c>
      <c r="E26" s="63">
        <v>900</v>
      </c>
      <c r="F26" s="63">
        <f>C26*E26</f>
        <v>900</v>
      </c>
    </row>
    <row r="27" spans="1:8">
      <c r="B27" s="62" t="s">
        <v>125</v>
      </c>
      <c r="C27" s="63">
        <v>1</v>
      </c>
      <c r="D27" s="63" t="s">
        <v>124</v>
      </c>
      <c r="E27" s="63">
        <v>500</v>
      </c>
      <c r="F27" s="63">
        <f>C27*E27</f>
        <v>500</v>
      </c>
    </row>
    <row r="29" spans="1:8">
      <c r="E29" s="60" t="s">
        <v>126</v>
      </c>
      <c r="F29" s="60">
        <f>SUM(F3:F27)</f>
        <v>33362</v>
      </c>
      <c r="H29">
        <f>SUM(H1:H26)</f>
        <v>33362</v>
      </c>
    </row>
  </sheetData>
  <pageMargins left="0.7" right="0.7" top="0.75" bottom="0.75" header="0.3" footer="0.3"/>
  <pageSetup paperSize="9" orientation="portrait" horizontalDpi="4294967293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7"/>
  <sheetViews>
    <sheetView view="pageBreakPreview" zoomScale="85" zoomScaleNormal="115" zoomScaleSheetLayoutView="85" workbookViewId="0">
      <selection activeCell="A25" sqref="A25:I27"/>
    </sheetView>
  </sheetViews>
  <sheetFormatPr defaultColWidth="9.140625" defaultRowHeight="14.25"/>
  <cols>
    <col min="1" max="1" width="14.140625" style="17" customWidth="1"/>
    <col min="2" max="2" width="10.28515625" style="17" customWidth="1"/>
    <col min="3" max="3" width="9.140625" style="17" customWidth="1"/>
    <col min="4" max="4" width="10.7109375" style="17" customWidth="1"/>
    <col min="5" max="5" width="10.5703125" style="17" customWidth="1"/>
    <col min="6" max="6" width="12" style="17" customWidth="1"/>
    <col min="7" max="10" width="9.140625" style="17" customWidth="1"/>
    <col min="11" max="11" width="13.140625" style="17" customWidth="1"/>
    <col min="12" max="16384" width="9.140625" style="17"/>
  </cols>
  <sheetData>
    <row r="1" spans="1:9">
      <c r="A1" s="402" t="s">
        <v>48</v>
      </c>
      <c r="B1" s="402"/>
      <c r="C1" s="402"/>
      <c r="D1" s="402"/>
      <c r="E1" s="402"/>
      <c r="F1" s="402"/>
      <c r="G1" s="402"/>
      <c r="H1" s="402"/>
      <c r="I1" s="402"/>
    </row>
    <row r="2" spans="1:9" ht="15">
      <c r="A2" s="403" t="s">
        <v>44</v>
      </c>
      <c r="B2" s="403"/>
      <c r="C2" s="403"/>
      <c r="D2" s="403"/>
      <c r="E2" s="403"/>
      <c r="F2" s="403"/>
      <c r="G2" s="403"/>
      <c r="H2" s="403"/>
      <c r="I2" s="403"/>
    </row>
    <row r="3" spans="1:9">
      <c r="A3" s="376" t="s">
        <v>47</v>
      </c>
      <c r="B3" s="376"/>
      <c r="C3" s="376"/>
      <c r="D3" s="376"/>
      <c r="E3" s="376"/>
      <c r="F3" s="376"/>
      <c r="G3" s="376"/>
      <c r="H3" s="376"/>
      <c r="I3" s="376"/>
    </row>
    <row r="4" spans="1:9">
      <c r="A4" s="23"/>
      <c r="B4" s="23"/>
      <c r="C4" s="23"/>
      <c r="D4" s="23"/>
      <c r="E4" s="23"/>
      <c r="F4" s="23"/>
      <c r="G4" s="23"/>
      <c r="H4" s="23"/>
      <c r="I4" s="23"/>
    </row>
    <row r="5" spans="1:9">
      <c r="G5" s="21"/>
      <c r="H5" s="404"/>
      <c r="I5" s="404"/>
    </row>
    <row r="6" spans="1:9">
      <c r="G6" s="21"/>
      <c r="H6" s="28"/>
      <c r="I6" s="28"/>
    </row>
    <row r="7" spans="1:9" ht="15.75">
      <c r="A7" s="405" t="s">
        <v>89</v>
      </c>
      <c r="B7" s="405"/>
      <c r="C7" s="405"/>
      <c r="D7" s="405"/>
      <c r="E7" s="405"/>
      <c r="F7" s="405"/>
      <c r="G7" s="405"/>
      <c r="H7" s="405"/>
      <c r="I7" s="405"/>
    </row>
    <row r="8" spans="1:9">
      <c r="D8" s="21"/>
      <c r="E8" s="27" t="s">
        <v>46</v>
      </c>
    </row>
    <row r="9" spans="1:9">
      <c r="D9" s="21"/>
      <c r="E9" s="27"/>
    </row>
    <row r="10" spans="1:9">
      <c r="D10" s="21"/>
      <c r="E10" s="27"/>
    </row>
    <row r="11" spans="1:9">
      <c r="D11" s="21"/>
    </row>
    <row r="12" spans="1:9" ht="15">
      <c r="A12" s="17" t="s">
        <v>45</v>
      </c>
      <c r="B12" s="25" t="s">
        <v>44</v>
      </c>
      <c r="D12" s="25"/>
    </row>
    <row r="13" spans="1:9" ht="15">
      <c r="A13" s="17" t="s">
        <v>43</v>
      </c>
      <c r="B13" s="25" t="s">
        <v>7</v>
      </c>
      <c r="C13" s="25"/>
      <c r="D13" s="25"/>
      <c r="E13" s="25"/>
    </row>
    <row r="14" spans="1:9" ht="15">
      <c r="B14" s="18"/>
      <c r="C14" s="25"/>
      <c r="D14" s="25"/>
      <c r="E14" s="25"/>
    </row>
    <row r="15" spans="1:9" ht="15">
      <c r="B15" s="26"/>
      <c r="D15" s="21"/>
      <c r="G15" s="17" t="s">
        <v>42</v>
      </c>
    </row>
    <row r="16" spans="1:9">
      <c r="B16" s="376"/>
      <c r="C16" s="376"/>
      <c r="G16" s="17" t="s">
        <v>41</v>
      </c>
    </row>
    <row r="17" spans="1:9" ht="15">
      <c r="A17" s="17" t="s">
        <v>40</v>
      </c>
      <c r="B17" s="25" t="s">
        <v>39</v>
      </c>
      <c r="C17" s="25"/>
      <c r="E17" s="25"/>
      <c r="G17" s="17" t="s">
        <v>38</v>
      </c>
    </row>
    <row r="18" spans="1:9" ht="15">
      <c r="A18" s="21" t="s">
        <v>37</v>
      </c>
      <c r="B18" s="377">
        <v>42438</v>
      </c>
      <c r="C18" s="378"/>
      <c r="G18" s="17" t="s">
        <v>36</v>
      </c>
    </row>
    <row r="19" spans="1:9">
      <c r="B19" s="17" t="s">
        <v>51</v>
      </c>
    </row>
    <row r="20" spans="1:9">
      <c r="A20" s="379" t="s">
        <v>35</v>
      </c>
      <c r="B20" s="380"/>
      <c r="C20" s="380"/>
      <c r="D20" s="380"/>
      <c r="E20" s="380"/>
      <c r="F20" s="380"/>
      <c r="G20" s="380"/>
      <c r="H20" s="380"/>
      <c r="I20" s="381"/>
    </row>
    <row r="21" spans="1:9" ht="14.25" customHeight="1">
      <c r="A21" s="382" t="s">
        <v>90</v>
      </c>
      <c r="B21" s="383"/>
      <c r="C21" s="383"/>
      <c r="D21" s="383"/>
      <c r="E21" s="383"/>
      <c r="F21" s="383"/>
      <c r="G21" s="383"/>
      <c r="H21" s="383"/>
      <c r="I21" s="384"/>
    </row>
    <row r="22" spans="1:9">
      <c r="A22" s="385"/>
      <c r="B22" s="386"/>
      <c r="C22" s="386"/>
      <c r="D22" s="386"/>
      <c r="E22" s="386"/>
      <c r="F22" s="386"/>
      <c r="G22" s="386"/>
      <c r="H22" s="386"/>
      <c r="I22" s="387"/>
    </row>
    <row r="23" spans="1:9">
      <c r="A23" s="388"/>
      <c r="B23" s="389"/>
      <c r="C23" s="389"/>
      <c r="D23" s="389"/>
      <c r="E23" s="389"/>
      <c r="F23" s="389"/>
      <c r="G23" s="389"/>
      <c r="H23" s="389"/>
      <c r="I23" s="390"/>
    </row>
    <row r="24" spans="1:9">
      <c r="A24" s="379" t="s">
        <v>34</v>
      </c>
      <c r="B24" s="380"/>
      <c r="C24" s="380"/>
      <c r="D24" s="380"/>
      <c r="E24" s="380"/>
      <c r="F24" s="380"/>
      <c r="G24" s="380"/>
      <c r="H24" s="380"/>
      <c r="I24" s="381"/>
    </row>
    <row r="25" spans="1:9">
      <c r="A25" s="393" t="s">
        <v>33</v>
      </c>
      <c r="B25" s="394"/>
      <c r="C25" s="394"/>
      <c r="D25" s="394"/>
      <c r="E25" s="394"/>
      <c r="F25" s="394"/>
      <c r="G25" s="394"/>
      <c r="H25" s="394"/>
      <c r="I25" s="395"/>
    </row>
    <row r="26" spans="1:9">
      <c r="A26" s="396"/>
      <c r="B26" s="397"/>
      <c r="C26" s="397"/>
      <c r="D26" s="397"/>
      <c r="E26" s="397"/>
      <c r="F26" s="397"/>
      <c r="G26" s="397"/>
      <c r="H26" s="397"/>
      <c r="I26" s="398"/>
    </row>
    <row r="27" spans="1:9">
      <c r="A27" s="399"/>
      <c r="B27" s="400"/>
      <c r="C27" s="400"/>
      <c r="D27" s="400"/>
      <c r="E27" s="400"/>
      <c r="F27" s="400"/>
      <c r="G27" s="400"/>
      <c r="H27" s="400"/>
      <c r="I27" s="401"/>
    </row>
    <row r="28" spans="1:9">
      <c r="A28" s="17" t="s">
        <v>32</v>
      </c>
      <c r="F28" s="24" t="s">
        <v>31</v>
      </c>
      <c r="G28" s="23"/>
    </row>
    <row r="29" spans="1:9">
      <c r="A29" s="17" t="s">
        <v>30</v>
      </c>
      <c r="F29" s="21" t="s">
        <v>29</v>
      </c>
      <c r="G29" s="391"/>
      <c r="H29" s="391"/>
      <c r="I29" s="391"/>
    </row>
    <row r="30" spans="1:9">
      <c r="A30" s="17" t="s">
        <v>28</v>
      </c>
      <c r="C30" s="22" t="s">
        <v>27</v>
      </c>
      <c r="F30" s="21" t="s">
        <v>26</v>
      </c>
      <c r="G30" s="392"/>
      <c r="H30" s="392"/>
      <c r="I30" s="392"/>
    </row>
    <row r="32" spans="1:9">
      <c r="A32" s="17" t="s">
        <v>25</v>
      </c>
    </row>
    <row r="33" spans="1:11">
      <c r="A33" s="382" t="s">
        <v>24</v>
      </c>
      <c r="B33" s="383"/>
      <c r="C33" s="383"/>
      <c r="D33" s="383"/>
      <c r="E33" s="383"/>
      <c r="F33" s="383"/>
      <c r="G33" s="383"/>
      <c r="H33" s="383"/>
      <c r="I33" s="384"/>
    </row>
    <row r="34" spans="1:11">
      <c r="A34" s="385"/>
      <c r="B34" s="386"/>
      <c r="C34" s="386"/>
      <c r="D34" s="386"/>
      <c r="E34" s="386"/>
      <c r="F34" s="386"/>
      <c r="G34" s="386"/>
      <c r="H34" s="386"/>
      <c r="I34" s="387"/>
    </row>
    <row r="35" spans="1:11">
      <c r="A35" s="385"/>
      <c r="B35" s="386"/>
      <c r="C35" s="386"/>
      <c r="D35" s="386"/>
      <c r="E35" s="386"/>
      <c r="F35" s="386"/>
      <c r="G35" s="386"/>
      <c r="H35" s="386"/>
      <c r="I35" s="387"/>
    </row>
    <row r="36" spans="1:11">
      <c r="A36" s="388"/>
      <c r="B36" s="389"/>
      <c r="C36" s="389"/>
      <c r="D36" s="389"/>
      <c r="E36" s="389"/>
      <c r="F36" s="389"/>
      <c r="G36" s="389"/>
      <c r="H36" s="389"/>
      <c r="I36" s="390"/>
    </row>
    <row r="37" spans="1:11" ht="15">
      <c r="A37" s="47" t="s">
        <v>85</v>
      </c>
      <c r="B37" s="48"/>
      <c r="E37" s="407"/>
      <c r="F37" s="408"/>
      <c r="G37" s="48" t="s">
        <v>86</v>
      </c>
      <c r="H37" s="409" t="e">
        <f>#REF!</f>
        <v>#REF!</v>
      </c>
      <c r="I37" s="410"/>
    </row>
    <row r="38" spans="1:11">
      <c r="A38" s="406" t="s">
        <v>23</v>
      </c>
      <c r="B38" s="406"/>
      <c r="C38" s="406"/>
      <c r="D38" s="406"/>
      <c r="E38" s="406"/>
      <c r="F38" s="406" t="s">
        <v>22</v>
      </c>
      <c r="G38" s="406"/>
      <c r="H38" s="406"/>
      <c r="I38" s="406"/>
    </row>
    <row r="41" spans="1:11">
      <c r="K41" s="20"/>
    </row>
    <row r="43" spans="1:11">
      <c r="A43" s="19" t="s">
        <v>21</v>
      </c>
    </row>
    <row r="44" spans="1:11">
      <c r="A44" s="19"/>
    </row>
    <row r="45" spans="1:11" ht="15">
      <c r="G45" s="18"/>
      <c r="H45" s="18"/>
      <c r="I45" s="18"/>
    </row>
    <row r="46" spans="1:11" ht="15">
      <c r="A46" s="49" t="s">
        <v>87</v>
      </c>
      <c r="B46" s="49"/>
      <c r="C46" s="49"/>
    </row>
    <row r="47" spans="1:11">
      <c r="A47" s="51" t="s">
        <v>20</v>
      </c>
      <c r="B47" s="28"/>
      <c r="C47" s="28"/>
    </row>
  </sheetData>
  <mergeCells count="18">
    <mergeCell ref="A38:E38"/>
    <mergeCell ref="F38:I38"/>
    <mergeCell ref="E37:F37"/>
    <mergeCell ref="H37:I37"/>
    <mergeCell ref="A1:I1"/>
    <mergeCell ref="A2:I2"/>
    <mergeCell ref="A3:I3"/>
    <mergeCell ref="H5:I5"/>
    <mergeCell ref="A7:I7"/>
    <mergeCell ref="B16:C16"/>
    <mergeCell ref="B18:C18"/>
    <mergeCell ref="A20:I20"/>
    <mergeCell ref="A33:I36"/>
    <mergeCell ref="G29:I29"/>
    <mergeCell ref="G30:I30"/>
    <mergeCell ref="A25:I27"/>
    <mergeCell ref="A24:I24"/>
    <mergeCell ref="A21:I23"/>
  </mergeCells>
  <printOptions horizontalCentered="1"/>
  <pageMargins left="0.69791666666666696" right="0.69791666666666696" top="0.75" bottom="0.75" header="0.3" footer="0.3"/>
  <pageSetup paperSize="5" scale="96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4"/>
  <sheetViews>
    <sheetView view="pageBreakPreview" zoomScale="70" zoomScaleNormal="100" zoomScaleSheetLayoutView="70" workbookViewId="0">
      <selection activeCell="V28" sqref="V28"/>
    </sheetView>
  </sheetViews>
  <sheetFormatPr defaultColWidth="9.140625" defaultRowHeight="14.25"/>
  <cols>
    <col min="1" max="1" width="11.140625" style="17" customWidth="1"/>
    <col min="2" max="2" width="3.140625" style="17" customWidth="1"/>
    <col min="3" max="3" width="11.85546875" style="17" customWidth="1"/>
    <col min="4" max="4" width="3" style="17" customWidth="1"/>
    <col min="5" max="5" width="13" style="17" customWidth="1"/>
    <col min="6" max="10" width="9.140625" style="17" customWidth="1"/>
    <col min="11" max="11" width="10.7109375" style="17" customWidth="1"/>
    <col min="12" max="12" width="9.140625" style="17" customWidth="1"/>
    <col min="13" max="13" width="13.140625" style="17" customWidth="1"/>
    <col min="14" max="16384" width="9.140625" style="17"/>
  </cols>
  <sheetData>
    <row r="1" spans="1:12" ht="15">
      <c r="A1" s="403" t="s">
        <v>48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25"/>
    </row>
    <row r="2" spans="1:12" ht="15">
      <c r="A2" s="403" t="s">
        <v>44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</row>
    <row r="3" spans="1:12">
      <c r="A3" s="376" t="s">
        <v>47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</row>
    <row r="5" spans="1:12" ht="15.75">
      <c r="A5" s="405" t="s">
        <v>84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</row>
    <row r="6" spans="1:12" ht="12.95" customHeight="1">
      <c r="A6" s="422" t="s">
        <v>83</v>
      </c>
      <c r="B6" s="422"/>
      <c r="C6" s="422"/>
      <c r="D6" s="422"/>
      <c r="E6" s="422"/>
      <c r="F6" s="422"/>
      <c r="G6" s="423">
        <v>1</v>
      </c>
      <c r="H6" s="423"/>
    </row>
    <row r="7" spans="1:12" ht="12.95" customHeight="1">
      <c r="A7" s="21"/>
      <c r="B7" s="21"/>
      <c r="C7" s="21"/>
      <c r="D7" s="21"/>
      <c r="E7" s="21"/>
      <c r="F7" s="21"/>
      <c r="G7" s="28"/>
      <c r="H7" s="28"/>
    </row>
    <row r="8" spans="1:12" ht="12.95" customHeight="1">
      <c r="A8" s="21"/>
      <c r="B8" s="21"/>
      <c r="C8" s="21"/>
      <c r="D8" s="21"/>
      <c r="E8" s="21"/>
      <c r="F8" s="21"/>
      <c r="G8" s="28"/>
      <c r="H8" s="28"/>
    </row>
    <row r="9" spans="1:12" ht="12.95" customHeight="1">
      <c r="A9" s="21"/>
      <c r="B9" s="21"/>
      <c r="C9" s="21"/>
      <c r="D9" s="21"/>
      <c r="E9" s="21"/>
      <c r="F9" s="21"/>
      <c r="G9" s="28"/>
      <c r="H9" s="28"/>
    </row>
    <row r="10" spans="1:12" ht="15.75">
      <c r="A10" s="29" t="s">
        <v>82</v>
      </c>
      <c r="B10" s="32" t="s">
        <v>78</v>
      </c>
      <c r="C10" s="416" t="s">
        <v>81</v>
      </c>
      <c r="D10" s="416"/>
      <c r="E10" s="416"/>
      <c r="F10" s="416"/>
      <c r="G10" s="416"/>
      <c r="H10" s="416"/>
      <c r="I10" s="416"/>
      <c r="J10" s="416"/>
      <c r="K10" s="416"/>
    </row>
    <row r="11" spans="1:12" ht="15.75">
      <c r="A11" s="29" t="s">
        <v>80</v>
      </c>
      <c r="B11" s="32" t="s">
        <v>78</v>
      </c>
      <c r="C11" s="417" t="s">
        <v>7</v>
      </c>
      <c r="D11" s="417"/>
      <c r="E11" s="417"/>
      <c r="F11" s="417"/>
      <c r="G11" s="417"/>
      <c r="H11" s="417"/>
      <c r="I11" s="417"/>
      <c r="J11" s="417"/>
      <c r="K11" s="417"/>
    </row>
    <row r="12" spans="1:12" ht="15.75">
      <c r="A12" s="29" t="s">
        <v>79</v>
      </c>
      <c r="B12" s="32" t="s">
        <v>78</v>
      </c>
      <c r="C12" s="420">
        <v>42438</v>
      </c>
      <c r="D12" s="420"/>
      <c r="E12" s="420"/>
      <c r="F12" s="45"/>
      <c r="G12" s="45"/>
      <c r="H12" s="45"/>
      <c r="I12" s="45"/>
      <c r="J12" s="45"/>
      <c r="K12" s="45"/>
    </row>
    <row r="13" spans="1:12" ht="15.75">
      <c r="A13" s="29"/>
      <c r="B13" s="32"/>
      <c r="C13" s="45"/>
      <c r="D13" s="45"/>
      <c r="E13" s="45"/>
      <c r="F13" s="45"/>
      <c r="G13" s="45"/>
      <c r="H13" s="45"/>
      <c r="I13" s="45"/>
      <c r="J13" s="45"/>
      <c r="K13" s="45"/>
    </row>
    <row r="14" spans="1:12" ht="15.75" thickBot="1">
      <c r="A14" s="43"/>
      <c r="B14" s="43"/>
      <c r="C14" s="44"/>
      <c r="D14" s="43"/>
      <c r="E14" s="43"/>
      <c r="F14" s="43"/>
      <c r="G14" s="43"/>
      <c r="H14" s="43"/>
      <c r="I14" s="43"/>
      <c r="J14" s="43"/>
      <c r="K14" s="43"/>
    </row>
    <row r="15" spans="1:12" ht="15">
      <c r="C15" s="25"/>
    </row>
    <row r="17" spans="1:13" ht="15">
      <c r="A17" s="29" t="s">
        <v>77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3" ht="1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3" ht="15">
      <c r="A19" s="29" t="s">
        <v>76</v>
      </c>
      <c r="B19" s="29"/>
      <c r="C19" s="421" t="s">
        <v>24</v>
      </c>
      <c r="D19" s="421"/>
      <c r="E19" s="421"/>
      <c r="F19" s="421"/>
      <c r="G19" s="421"/>
      <c r="H19" s="421"/>
      <c r="I19" s="421"/>
      <c r="J19" s="421"/>
      <c r="K19" s="421"/>
    </row>
    <row r="20" spans="1:13" ht="30.75" customHeight="1">
      <c r="A20" s="29"/>
      <c r="B20" s="29"/>
      <c r="C20" s="421"/>
      <c r="D20" s="421"/>
      <c r="E20" s="421"/>
      <c r="F20" s="421"/>
      <c r="G20" s="421"/>
      <c r="H20" s="421"/>
      <c r="I20" s="421"/>
      <c r="J20" s="421"/>
      <c r="K20" s="421"/>
    </row>
    <row r="21" spans="1:13" ht="1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3" ht="15">
      <c r="A22" s="29" t="s">
        <v>75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3" ht="15">
      <c r="A23" s="29"/>
      <c r="B23" s="29" t="s">
        <v>74</v>
      </c>
      <c r="C23" s="29"/>
      <c r="D23" s="29"/>
      <c r="E23" s="29"/>
      <c r="F23" s="29"/>
      <c r="G23" s="29"/>
      <c r="H23" s="32" t="s">
        <v>69</v>
      </c>
      <c r="I23" s="418">
        <v>21348166.75</v>
      </c>
      <c r="J23" s="418"/>
      <c r="K23" s="418"/>
      <c r="M23" s="52" t="e">
        <f>(I25/I23)*100</f>
        <v>#REF!</v>
      </c>
    </row>
    <row r="24" spans="1:13" ht="15">
      <c r="A24" s="29"/>
      <c r="B24" s="29" t="s">
        <v>73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1:13" ht="15">
      <c r="A25" s="29"/>
      <c r="B25" s="40"/>
      <c r="C25" s="29" t="s">
        <v>60</v>
      </c>
      <c r="D25" s="40"/>
      <c r="E25" s="29" t="s">
        <v>59</v>
      </c>
      <c r="F25" s="29" t="s">
        <v>72</v>
      </c>
      <c r="G25" s="29"/>
      <c r="H25" s="32" t="s">
        <v>69</v>
      </c>
      <c r="I25" s="418" t="e">
        <f>#REF!</f>
        <v>#REF!</v>
      </c>
      <c r="J25" s="419"/>
      <c r="K25" s="419"/>
    </row>
    <row r="26" spans="1:13" ht="15">
      <c r="A26" s="29"/>
      <c r="B26" s="29" t="s">
        <v>71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3" ht="15">
      <c r="A27" s="29"/>
      <c r="B27" s="29" t="s">
        <v>70</v>
      </c>
      <c r="C27" s="29"/>
      <c r="D27" s="29"/>
      <c r="E27" s="29"/>
      <c r="F27" s="29"/>
      <c r="G27" s="29"/>
      <c r="H27" s="32" t="s">
        <v>69</v>
      </c>
      <c r="I27" s="412" t="e">
        <f>I23+I25</f>
        <v>#REF!</v>
      </c>
      <c r="J27" s="412"/>
      <c r="K27" s="412"/>
    </row>
    <row r="28" spans="1:13" ht="15.7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</row>
    <row r="29" spans="1:13" ht="15" hidden="1">
      <c r="A29" s="35" t="s">
        <v>63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3" ht="15.75" hidden="1">
      <c r="A30" s="42"/>
      <c r="B30" s="29" t="s">
        <v>62</v>
      </c>
      <c r="C30" s="29"/>
      <c r="D30" s="29"/>
      <c r="E30" s="29"/>
      <c r="F30" s="29"/>
      <c r="G30" s="29"/>
      <c r="H30" s="32"/>
      <c r="I30" s="41" t="s">
        <v>67</v>
      </c>
      <c r="J30" s="29" t="s">
        <v>66</v>
      </c>
      <c r="K30" s="29"/>
    </row>
    <row r="31" spans="1:13" ht="15" hidden="1">
      <c r="A31" s="29"/>
      <c r="B31" s="29" t="s">
        <v>68</v>
      </c>
      <c r="C31" s="29"/>
      <c r="D31" s="29"/>
      <c r="E31" s="29"/>
      <c r="F31" s="29"/>
      <c r="G31" s="29"/>
      <c r="H31" s="29"/>
      <c r="I31" s="29"/>
      <c r="J31" s="29"/>
      <c r="K31" s="29"/>
    </row>
    <row r="32" spans="1:13" ht="15" hidden="1">
      <c r="A32" s="29"/>
      <c r="B32" s="29"/>
      <c r="C32" s="29" t="s">
        <v>60</v>
      </c>
      <c r="D32" s="29"/>
      <c r="E32" s="29" t="s">
        <v>59</v>
      </c>
      <c r="F32" s="29" t="s">
        <v>58</v>
      </c>
      <c r="G32" s="29"/>
      <c r="H32" s="32"/>
      <c r="I32" s="41" t="s">
        <v>67</v>
      </c>
      <c r="J32" s="29" t="s">
        <v>66</v>
      </c>
      <c r="K32" s="29"/>
    </row>
    <row r="33" spans="1:11" ht="15" hidden="1">
      <c r="A33" s="29"/>
      <c r="B33" s="29" t="s">
        <v>57</v>
      </c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5" hidden="1">
      <c r="A34" s="29"/>
      <c r="B34" s="29" t="s">
        <v>65</v>
      </c>
      <c r="C34" s="29"/>
      <c r="D34" s="29"/>
      <c r="E34" s="29"/>
      <c r="F34" s="29"/>
      <c r="G34" s="29"/>
      <c r="H34" s="32"/>
      <c r="I34" s="413" t="s">
        <v>64</v>
      </c>
      <c r="J34" s="413"/>
      <c r="K34" s="413"/>
    </row>
    <row r="35" spans="1:11" ht="15">
      <c r="A35" s="29" t="s">
        <v>63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15">
      <c r="A36" s="29"/>
      <c r="B36" s="29" t="s">
        <v>62</v>
      </c>
      <c r="C36" s="29"/>
      <c r="D36" s="29"/>
      <c r="E36" s="29"/>
      <c r="F36" s="29"/>
      <c r="G36" s="29"/>
      <c r="H36" s="32"/>
      <c r="I36" s="38">
        <v>10</v>
      </c>
      <c r="J36" s="29" t="s">
        <v>55</v>
      </c>
      <c r="K36" s="29"/>
    </row>
    <row r="37" spans="1:11" ht="15">
      <c r="A37" s="29"/>
      <c r="B37" s="29" t="s">
        <v>61</v>
      </c>
      <c r="C37" s="29"/>
      <c r="D37" s="29"/>
      <c r="E37" s="29"/>
      <c r="F37" s="29"/>
      <c r="G37" s="29"/>
      <c r="H37" s="29"/>
      <c r="I37" s="39"/>
      <c r="J37" s="29"/>
      <c r="K37" s="29"/>
    </row>
    <row r="38" spans="1:11" ht="15">
      <c r="A38" s="29"/>
      <c r="B38" s="40"/>
      <c r="C38" s="29" t="s">
        <v>60</v>
      </c>
      <c r="D38" s="40"/>
      <c r="E38" s="29" t="s">
        <v>59</v>
      </c>
      <c r="F38" s="29" t="s">
        <v>58</v>
      </c>
      <c r="G38" s="29"/>
      <c r="H38" s="32"/>
      <c r="I38" s="38">
        <v>3</v>
      </c>
      <c r="J38" s="29" t="s">
        <v>55</v>
      </c>
      <c r="K38" s="29"/>
    </row>
    <row r="39" spans="1:11" ht="15">
      <c r="A39" s="29"/>
      <c r="B39" s="29" t="s">
        <v>57</v>
      </c>
      <c r="C39" s="29"/>
      <c r="D39" s="29"/>
      <c r="E39" s="29"/>
      <c r="F39" s="29"/>
      <c r="G39" s="29"/>
      <c r="H39" s="29"/>
      <c r="I39" s="39"/>
      <c r="J39" s="29"/>
      <c r="K39" s="29"/>
    </row>
    <row r="40" spans="1:11" ht="15">
      <c r="A40" s="29"/>
      <c r="B40" s="29" t="s">
        <v>56</v>
      </c>
      <c r="C40" s="29"/>
      <c r="D40" s="29"/>
      <c r="E40" s="29"/>
      <c r="F40" s="29"/>
      <c r="G40" s="29"/>
      <c r="H40" s="32"/>
      <c r="I40" s="38">
        <f>I36+I38</f>
        <v>13</v>
      </c>
      <c r="J40" s="37" t="s">
        <v>55</v>
      </c>
      <c r="K40" s="36"/>
    </row>
    <row r="41" spans="1:11" ht="1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</row>
    <row r="42" spans="1:11" ht="15">
      <c r="A42" s="29" t="s">
        <v>54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</row>
    <row r="43" spans="1:11" ht="15">
      <c r="A43" s="29"/>
      <c r="B43" s="414" t="s">
        <v>53</v>
      </c>
      <c r="C43" s="414"/>
      <c r="D43" s="414"/>
      <c r="E43" s="414"/>
      <c r="F43" s="414"/>
      <c r="G43" s="414"/>
      <c r="H43" s="414"/>
      <c r="I43" s="414"/>
      <c r="J43" s="414"/>
      <c r="K43" s="414"/>
    </row>
    <row r="44" spans="1:11" ht="15">
      <c r="A44" s="29"/>
      <c r="B44" s="414"/>
      <c r="C44" s="414"/>
      <c r="D44" s="414"/>
      <c r="E44" s="414"/>
      <c r="F44" s="414"/>
      <c r="G44" s="414"/>
      <c r="H44" s="414"/>
      <c r="I44" s="414"/>
      <c r="J44" s="414"/>
      <c r="K44" s="414"/>
    </row>
    <row r="45" spans="1:11" ht="25.5" customHeight="1">
      <c r="A45" s="29"/>
      <c r="B45" s="414"/>
      <c r="C45" s="414"/>
      <c r="D45" s="414"/>
      <c r="E45" s="414"/>
      <c r="F45" s="414"/>
      <c r="G45" s="414"/>
      <c r="H45" s="414"/>
      <c r="I45" s="414"/>
      <c r="J45" s="414"/>
      <c r="K45" s="414"/>
    </row>
    <row r="48" spans="1:11">
      <c r="E48" s="23"/>
    </row>
    <row r="49" spans="1:11" ht="15.75">
      <c r="A49" s="30" t="s">
        <v>52</v>
      </c>
      <c r="B49" s="29"/>
      <c r="C49" s="29"/>
      <c r="D49" s="29"/>
      <c r="E49" s="29"/>
      <c r="F49" s="29"/>
      <c r="G49" s="34"/>
      <c r="H49" s="29" t="s">
        <v>51</v>
      </c>
      <c r="I49" s="29"/>
      <c r="J49" s="29"/>
      <c r="K49" s="29"/>
    </row>
    <row r="50" spans="1:11" ht="15.75">
      <c r="A50" s="30"/>
      <c r="B50" s="29"/>
      <c r="C50" s="29"/>
      <c r="D50" s="29"/>
      <c r="E50" s="29"/>
      <c r="F50" s="29"/>
      <c r="G50" s="34"/>
      <c r="H50" s="29"/>
      <c r="I50" s="29"/>
      <c r="J50" s="29"/>
      <c r="K50" s="29"/>
    </row>
    <row r="51" spans="1:11" ht="15.75">
      <c r="A51" s="30"/>
      <c r="B51" s="29"/>
      <c r="C51" s="29"/>
      <c r="D51" s="29"/>
      <c r="E51" s="29"/>
      <c r="F51" s="29"/>
      <c r="G51" s="34"/>
      <c r="H51" s="29"/>
      <c r="I51" s="29"/>
      <c r="J51" s="29"/>
      <c r="K51" s="29"/>
    </row>
    <row r="52" spans="1:11" ht="15.75">
      <c r="A52" s="50" t="s">
        <v>39</v>
      </c>
      <c r="B52" s="29"/>
      <c r="C52" s="29"/>
      <c r="D52" s="29"/>
      <c r="E52" s="29"/>
      <c r="F52" s="29"/>
      <c r="G52" s="34"/>
      <c r="H52" s="29"/>
      <c r="I52" s="29"/>
      <c r="J52" s="29"/>
      <c r="K52" s="29"/>
    </row>
    <row r="53" spans="1:11" ht="15.75">
      <c r="A53" s="37" t="s">
        <v>50</v>
      </c>
      <c r="B53" s="29"/>
      <c r="C53" s="29"/>
      <c r="D53" s="29"/>
      <c r="E53" s="29"/>
      <c r="F53" s="29"/>
      <c r="G53" s="34"/>
      <c r="H53" s="29"/>
      <c r="I53" s="29"/>
      <c r="J53" s="29"/>
      <c r="K53" s="29"/>
    </row>
    <row r="54" spans="1:11" ht="15">
      <c r="A54" s="33"/>
      <c r="B54" s="33"/>
      <c r="C54" s="33"/>
      <c r="D54" s="33"/>
      <c r="E54" s="33"/>
      <c r="G54" s="31"/>
      <c r="H54" s="415"/>
      <c r="I54" s="415"/>
      <c r="J54" s="415"/>
      <c r="K54" s="415"/>
    </row>
    <row r="55" spans="1:11" ht="15">
      <c r="A55" s="32"/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11" ht="15">
      <c r="A56" s="32"/>
      <c r="B56" s="31"/>
      <c r="C56" s="31"/>
      <c r="D56" s="31"/>
      <c r="E56" s="31"/>
      <c r="F56" s="31"/>
      <c r="G56" s="31"/>
      <c r="H56" s="31"/>
      <c r="I56" s="31"/>
      <c r="J56" s="31"/>
      <c r="K56" s="31"/>
    </row>
    <row r="57" spans="1:11" ht="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</row>
    <row r="58" spans="1:11" ht="15">
      <c r="A58" s="30" t="s">
        <v>49</v>
      </c>
      <c r="B58" s="29"/>
      <c r="C58" s="29"/>
      <c r="D58" s="29"/>
      <c r="E58" s="29"/>
      <c r="F58" s="29"/>
      <c r="H58" s="30" t="s">
        <v>21</v>
      </c>
      <c r="I58" s="29"/>
      <c r="J58" s="29"/>
      <c r="K58" s="29"/>
    </row>
    <row r="59" spans="1:11" ht="1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  <row r="60" spans="1:11" ht="1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</row>
    <row r="61" spans="1:11" ht="15.75">
      <c r="A61" s="50" t="s">
        <v>87</v>
      </c>
      <c r="B61" s="34"/>
      <c r="C61" s="34"/>
      <c r="D61" s="34"/>
      <c r="E61" s="34"/>
      <c r="F61" s="34"/>
      <c r="G61" s="29"/>
      <c r="H61" s="416" t="s">
        <v>88</v>
      </c>
      <c r="I61" s="416"/>
      <c r="J61" s="416"/>
      <c r="K61" s="416"/>
    </row>
    <row r="62" spans="1:11" ht="15">
      <c r="A62" s="37" t="s">
        <v>20</v>
      </c>
      <c r="B62" s="29"/>
      <c r="C62" s="29"/>
      <c r="D62" s="29"/>
      <c r="E62" s="29"/>
      <c r="F62" s="29"/>
      <c r="G62" s="29"/>
      <c r="H62" s="411" t="s">
        <v>16</v>
      </c>
      <c r="I62" s="411"/>
      <c r="J62" s="411"/>
      <c r="K62" s="411"/>
    </row>
    <row r="63" spans="1:11" ht="1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ht="1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</row>
  </sheetData>
  <mergeCells count="18">
    <mergeCell ref="A1:K1"/>
    <mergeCell ref="A2:K2"/>
    <mergeCell ref="A3:K3"/>
    <mergeCell ref="A5:K5"/>
    <mergeCell ref="A6:F6"/>
    <mergeCell ref="G6:H6"/>
    <mergeCell ref="C10:K10"/>
    <mergeCell ref="C11:K11"/>
    <mergeCell ref="I23:K23"/>
    <mergeCell ref="I25:K25"/>
    <mergeCell ref="C12:E12"/>
    <mergeCell ref="C19:K20"/>
    <mergeCell ref="H62:K62"/>
    <mergeCell ref="I27:K27"/>
    <mergeCell ref="I34:K34"/>
    <mergeCell ref="B43:K45"/>
    <mergeCell ref="H54:K54"/>
    <mergeCell ref="H61:K61"/>
  </mergeCells>
  <printOptions horizontalCentered="1"/>
  <pageMargins left="0.69791666666666696" right="0.69791666666666696" top="0.75" bottom="0.75" header="0.3" footer="0.3"/>
  <pageSetup paperSize="5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2EE6C-0373-42E4-87FA-27AED4C20441}">
  <sheetPr>
    <pageSetUpPr fitToPage="1"/>
  </sheetPr>
  <dimension ref="A1:G52"/>
  <sheetViews>
    <sheetView tabSelected="1" view="pageBreakPreview" topLeftCell="A12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8.710937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1</v>
      </c>
      <c r="B9" s="246" t="s">
        <v>352</v>
      </c>
      <c r="C9" s="247"/>
      <c r="D9" s="247"/>
      <c r="E9" s="247"/>
      <c r="F9" s="247"/>
    </row>
    <row r="10" spans="1:6" ht="30">
      <c r="A10" s="248">
        <v>1.3</v>
      </c>
      <c r="B10" s="249" t="s">
        <v>528</v>
      </c>
      <c r="C10" s="250">
        <v>1</v>
      </c>
      <c r="D10" s="251" t="s">
        <v>5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22F3-5EAB-448B-9B49-590988E93679}">
  <sheetPr>
    <pageSetUpPr fitToPage="1"/>
  </sheetPr>
  <dimension ref="A1:G52"/>
  <sheetViews>
    <sheetView tabSelected="1" view="pageBreakPreview" topLeftCell="A19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2</v>
      </c>
      <c r="B9" s="246" t="s">
        <v>498</v>
      </c>
      <c r="C9" s="247"/>
      <c r="D9" s="247"/>
      <c r="E9" s="247"/>
      <c r="F9" s="247"/>
    </row>
    <row r="10" spans="1:6" ht="30">
      <c r="A10" s="248">
        <v>2.1</v>
      </c>
      <c r="B10" s="249" t="s">
        <v>530</v>
      </c>
      <c r="C10" s="300">
        <v>3536.5759800000001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948F-B669-492F-80E7-5E8EB6341294}">
  <sheetPr>
    <pageSetUpPr fitToPage="1"/>
  </sheetPr>
  <dimension ref="A1:G52"/>
  <sheetViews>
    <sheetView tabSelected="1" view="pageBreakPreview" topLeftCell="A17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2</v>
      </c>
      <c r="B9" s="246" t="s">
        <v>498</v>
      </c>
      <c r="C9" s="247"/>
      <c r="D9" s="247"/>
      <c r="E9" s="247"/>
      <c r="F9" s="247"/>
    </row>
    <row r="10" spans="1:6" ht="30">
      <c r="A10" s="248">
        <v>2.2000000000000002</v>
      </c>
      <c r="B10" s="249" t="s">
        <v>531</v>
      </c>
      <c r="C10" s="300">
        <v>400.70100000000002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D2BA-6DCA-47DD-8CF8-BB0BF556E878}">
  <sheetPr>
    <pageSetUpPr fitToPage="1"/>
  </sheetPr>
  <dimension ref="A1:G52"/>
  <sheetViews>
    <sheetView tabSelected="1" view="pageBreakPreview" topLeftCell="A17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2</v>
      </c>
      <c r="B9" s="246" t="s">
        <v>498</v>
      </c>
      <c r="C9" s="247"/>
      <c r="D9" s="247"/>
      <c r="E9" s="247"/>
      <c r="F9" s="247"/>
    </row>
    <row r="10" spans="1:6" ht="30">
      <c r="A10" s="248">
        <v>2.2999999999999998</v>
      </c>
      <c r="B10" s="249" t="s">
        <v>532</v>
      </c>
      <c r="C10" s="300">
        <v>22.848000000000003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B61F5-B481-44C2-9255-7FDEE220487F}">
  <sheetPr>
    <pageSetUpPr fitToPage="1"/>
  </sheetPr>
  <dimension ref="A1:G52"/>
  <sheetViews>
    <sheetView tabSelected="1" view="pageBreakPreview" topLeftCell="A14" zoomScale="85" zoomScaleNormal="100" zoomScaleSheetLayoutView="85" workbookViewId="0">
      <selection activeCell="F17" sqref="F17"/>
    </sheetView>
  </sheetViews>
  <sheetFormatPr defaultRowHeight="12.75"/>
  <cols>
    <col min="1" max="1" width="11.42578125" customWidth="1"/>
    <col min="2" max="2" width="60.42578125" bestFit="1" customWidth="1"/>
    <col min="3" max="3" width="11.28515625" customWidth="1"/>
    <col min="4" max="4" width="8.28515625" customWidth="1"/>
    <col min="5" max="5" width="15.42578125" customWidth="1"/>
    <col min="6" max="6" width="19.28515625" customWidth="1"/>
  </cols>
  <sheetData>
    <row r="1" spans="1:6" ht="15">
      <c r="A1" s="336" t="s">
        <v>509</v>
      </c>
      <c r="B1" s="336"/>
      <c r="C1" s="336"/>
      <c r="D1" s="336"/>
      <c r="E1" s="336"/>
      <c r="F1" s="336"/>
    </row>
    <row r="2" spans="1:6" ht="15">
      <c r="A2" s="243" t="s">
        <v>399</v>
      </c>
      <c r="B2" s="243"/>
      <c r="C2" s="243"/>
      <c r="D2" s="243"/>
      <c r="E2" s="243"/>
      <c r="F2" s="243"/>
    </row>
    <row r="3" spans="1:6" ht="15">
      <c r="A3" s="243" t="s">
        <v>426</v>
      </c>
      <c r="B3" s="243"/>
      <c r="C3" s="243"/>
      <c r="D3" s="243"/>
      <c r="E3" s="243"/>
      <c r="F3" s="243"/>
    </row>
    <row r="4" spans="1:6" ht="15">
      <c r="A4" s="243"/>
      <c r="B4" s="243"/>
      <c r="C4" s="243"/>
      <c r="D4" s="243"/>
      <c r="E4" s="243"/>
      <c r="F4" s="243"/>
    </row>
    <row r="5" spans="1:6" ht="15">
      <c r="A5" s="243"/>
      <c r="B5" s="243"/>
      <c r="C5" s="243"/>
      <c r="D5" s="243"/>
      <c r="E5" s="243"/>
      <c r="F5" s="243"/>
    </row>
    <row r="6" spans="1:6" ht="15">
      <c r="A6" s="243"/>
      <c r="B6" s="243"/>
      <c r="C6" s="243"/>
      <c r="D6" s="243"/>
      <c r="E6" s="243"/>
      <c r="F6" s="243"/>
    </row>
    <row r="7" spans="1:6" ht="15">
      <c r="A7" s="337" t="s">
        <v>400</v>
      </c>
      <c r="B7" s="337"/>
      <c r="C7" s="337"/>
      <c r="D7" s="337"/>
      <c r="E7" s="337"/>
      <c r="F7" s="337"/>
    </row>
    <row r="8" spans="1:6" ht="15">
      <c r="A8" s="304"/>
      <c r="B8" s="304"/>
      <c r="C8" s="244" t="s">
        <v>100</v>
      </c>
      <c r="D8" s="244" t="s">
        <v>104</v>
      </c>
      <c r="E8" s="244" t="s">
        <v>401</v>
      </c>
      <c r="F8" s="244" t="s">
        <v>402</v>
      </c>
    </row>
    <row r="9" spans="1:6" ht="15">
      <c r="A9" s="245">
        <v>2</v>
      </c>
      <c r="B9" s="246" t="s">
        <v>498</v>
      </c>
      <c r="C9" s="247"/>
      <c r="D9" s="247"/>
      <c r="E9" s="247"/>
      <c r="F9" s="247"/>
    </row>
    <row r="10" spans="1:6" ht="30">
      <c r="A10" s="248">
        <v>2.4</v>
      </c>
      <c r="B10" s="249" t="s">
        <v>527</v>
      </c>
      <c r="C10" s="300">
        <v>133.65450000000001</v>
      </c>
      <c r="D10" s="251" t="s">
        <v>483</v>
      </c>
      <c r="E10" s="252">
        <f>F10/C10</f>
        <v>0</v>
      </c>
      <c r="F10" s="252">
        <f>F47</f>
        <v>0</v>
      </c>
    </row>
    <row r="11" spans="1:6" ht="15">
      <c r="A11" s="329"/>
      <c r="B11" s="329"/>
      <c r="C11" s="329"/>
      <c r="D11" s="329"/>
      <c r="E11" s="329"/>
      <c r="F11" s="329"/>
    </row>
    <row r="12" spans="1:6" ht="15">
      <c r="A12" s="253" t="s">
        <v>356</v>
      </c>
      <c r="B12" s="330" t="s">
        <v>403</v>
      </c>
      <c r="C12" s="330"/>
      <c r="D12" s="330"/>
      <c r="E12" s="330"/>
      <c r="F12" s="330"/>
    </row>
    <row r="13" spans="1:6" ht="15">
      <c r="A13" s="244" t="s">
        <v>404</v>
      </c>
      <c r="B13" s="244" t="s">
        <v>405</v>
      </c>
      <c r="C13" s="244" t="s">
        <v>100</v>
      </c>
      <c r="D13" s="244" t="s">
        <v>104</v>
      </c>
      <c r="E13" s="244" t="s">
        <v>406</v>
      </c>
      <c r="F13" s="244" t="s">
        <v>407</v>
      </c>
    </row>
    <row r="14" spans="1:6" ht="15">
      <c r="A14" s="253">
        <v>1</v>
      </c>
      <c r="B14" s="244"/>
      <c r="C14" s="254"/>
      <c r="D14" s="251"/>
      <c r="E14" s="254"/>
      <c r="F14" s="255"/>
    </row>
    <row r="15" spans="1:6" ht="15">
      <c r="A15" s="253">
        <v>2</v>
      </c>
      <c r="B15" s="244"/>
      <c r="C15" s="254"/>
      <c r="D15" s="251"/>
      <c r="E15" s="254"/>
      <c r="F15" s="255"/>
    </row>
    <row r="16" spans="1:6" ht="15">
      <c r="A16" s="253">
        <v>3</v>
      </c>
      <c r="B16" s="244"/>
      <c r="C16" s="254"/>
      <c r="D16" s="251"/>
      <c r="E16" s="254"/>
      <c r="F16" s="255"/>
    </row>
    <row r="17" spans="1:6" ht="15">
      <c r="A17" s="253">
        <v>4</v>
      </c>
      <c r="B17" s="244"/>
      <c r="C17" s="254"/>
      <c r="D17" s="251"/>
      <c r="E17" s="254"/>
      <c r="F17" s="255"/>
    </row>
    <row r="18" spans="1:6" ht="15">
      <c r="A18" s="253">
        <v>5</v>
      </c>
      <c r="B18" s="244"/>
      <c r="C18" s="254"/>
      <c r="D18" s="251"/>
      <c r="E18" s="254"/>
      <c r="F18" s="256"/>
    </row>
    <row r="19" spans="1:6" ht="15">
      <c r="A19" s="253">
        <v>6</v>
      </c>
      <c r="B19" s="295"/>
      <c r="C19" s="254"/>
      <c r="D19" s="251"/>
      <c r="E19" s="254"/>
      <c r="F19" s="255"/>
    </row>
    <row r="20" spans="1:6" ht="15">
      <c r="A20" s="253">
        <v>7</v>
      </c>
      <c r="B20" s="244"/>
      <c r="C20" s="244"/>
      <c r="D20" s="244"/>
      <c r="E20" s="244"/>
      <c r="F20" s="244"/>
    </row>
    <row r="21" spans="1:6" ht="15">
      <c r="A21" s="253">
        <v>8</v>
      </c>
      <c r="B21" s="244"/>
      <c r="C21" s="244"/>
      <c r="D21" s="244"/>
      <c r="E21" s="244"/>
      <c r="F21" s="244"/>
    </row>
    <row r="22" spans="1:6" ht="15">
      <c r="A22" s="253">
        <v>9</v>
      </c>
      <c r="B22" s="244"/>
      <c r="C22" s="244"/>
      <c r="D22" s="244"/>
      <c r="E22" s="244"/>
      <c r="F22" s="244"/>
    </row>
    <row r="23" spans="1:6" ht="15">
      <c r="A23" s="253">
        <v>10</v>
      </c>
      <c r="B23" s="244"/>
      <c r="C23" s="244"/>
      <c r="D23" s="244"/>
      <c r="E23" s="244"/>
      <c r="F23" s="244"/>
    </row>
    <row r="24" spans="1:6" ht="15">
      <c r="A24" s="253"/>
      <c r="B24" s="333" t="s">
        <v>408</v>
      </c>
      <c r="C24" s="333"/>
      <c r="D24" s="333"/>
      <c r="E24" s="333"/>
      <c r="F24" s="256"/>
    </row>
    <row r="25" spans="1:6" ht="15">
      <c r="A25" s="329"/>
      <c r="B25" s="329"/>
      <c r="C25" s="329"/>
      <c r="D25" s="329"/>
      <c r="E25" s="329"/>
      <c r="F25" s="329"/>
    </row>
    <row r="26" spans="1:6" ht="15">
      <c r="A26" s="253" t="s">
        <v>409</v>
      </c>
      <c r="B26" s="330" t="s">
        <v>410</v>
      </c>
      <c r="C26" s="330"/>
      <c r="D26" s="330"/>
      <c r="E26" s="330"/>
      <c r="F26" s="330"/>
    </row>
    <row r="27" spans="1:6" ht="15">
      <c r="A27" s="244" t="s">
        <v>404</v>
      </c>
      <c r="B27" s="244" t="s">
        <v>411</v>
      </c>
      <c r="C27" s="329" t="s">
        <v>412</v>
      </c>
      <c r="D27" s="329"/>
      <c r="E27" s="244" t="s">
        <v>413</v>
      </c>
      <c r="F27" s="244" t="s">
        <v>407</v>
      </c>
    </row>
    <row r="28" spans="1:6" ht="15">
      <c r="A28" s="253"/>
      <c r="B28" s="295"/>
      <c r="C28" s="332"/>
      <c r="D28" s="332"/>
      <c r="E28" s="254"/>
      <c r="F28" s="255"/>
    </row>
    <row r="29" spans="1:6" ht="15">
      <c r="A29" s="253"/>
      <c r="B29" s="295"/>
      <c r="C29" s="332"/>
      <c r="D29" s="332"/>
      <c r="E29" s="254"/>
      <c r="F29" s="255"/>
    </row>
    <row r="30" spans="1:6" ht="15">
      <c r="A30" s="253"/>
      <c r="B30" s="295"/>
      <c r="C30" s="332"/>
      <c r="D30" s="332"/>
      <c r="E30" s="254"/>
      <c r="F30" s="255"/>
    </row>
    <row r="31" spans="1:6" ht="15">
      <c r="A31" s="253"/>
      <c r="B31" s="244"/>
      <c r="C31" s="338"/>
      <c r="D31" s="329"/>
      <c r="E31" s="244"/>
      <c r="F31" s="244"/>
    </row>
    <row r="32" spans="1:6" ht="15">
      <c r="A32" s="253"/>
      <c r="B32" s="333" t="s">
        <v>414</v>
      </c>
      <c r="C32" s="333"/>
      <c r="D32" s="333"/>
      <c r="E32" s="333"/>
      <c r="F32" s="254"/>
    </row>
    <row r="33" spans="1:7" ht="15">
      <c r="A33" s="329"/>
      <c r="B33" s="329"/>
      <c r="C33" s="329"/>
      <c r="D33" s="329"/>
      <c r="E33" s="329"/>
      <c r="F33" s="329"/>
    </row>
    <row r="34" spans="1:7" ht="15">
      <c r="A34" s="253" t="s">
        <v>415</v>
      </c>
      <c r="B34" s="330" t="s">
        <v>416</v>
      </c>
      <c r="C34" s="330"/>
      <c r="D34" s="330"/>
      <c r="E34" s="330"/>
      <c r="F34" s="330"/>
    </row>
    <row r="35" spans="1:7" ht="30">
      <c r="A35" s="244" t="s">
        <v>404</v>
      </c>
      <c r="B35" s="244" t="s">
        <v>417</v>
      </c>
      <c r="C35" s="329" t="s">
        <v>418</v>
      </c>
      <c r="D35" s="329"/>
      <c r="E35" s="244" t="s">
        <v>419</v>
      </c>
      <c r="F35" s="244" t="s">
        <v>407</v>
      </c>
    </row>
    <row r="36" spans="1:7" ht="15">
      <c r="A36" s="253">
        <v>1</v>
      </c>
      <c r="B36" s="244"/>
      <c r="C36" s="329"/>
      <c r="D36" s="329"/>
      <c r="E36" s="254"/>
      <c r="F36" s="255"/>
    </row>
    <row r="37" spans="1:7" ht="15">
      <c r="A37" s="253">
        <v>2</v>
      </c>
      <c r="B37" s="244"/>
      <c r="C37" s="332"/>
      <c r="D37" s="332"/>
      <c r="E37" s="254"/>
      <c r="F37" s="254"/>
    </row>
    <row r="38" spans="1:7" ht="15">
      <c r="A38" s="253">
        <v>3</v>
      </c>
      <c r="B38" s="244"/>
      <c r="C38" s="329"/>
      <c r="D38" s="329"/>
      <c r="E38" s="244"/>
      <c r="F38" s="244"/>
    </row>
    <row r="39" spans="1:7" ht="15">
      <c r="A39" s="253">
        <v>4</v>
      </c>
      <c r="B39" s="244"/>
      <c r="C39" s="329"/>
      <c r="D39" s="329"/>
      <c r="E39" s="244"/>
      <c r="F39" s="244"/>
    </row>
    <row r="40" spans="1:7" ht="15">
      <c r="A40" s="253">
        <v>5</v>
      </c>
      <c r="B40" s="244"/>
      <c r="C40" s="329"/>
      <c r="D40" s="329"/>
      <c r="E40" s="244"/>
      <c r="F40" s="244"/>
    </row>
    <row r="41" spans="1:7" ht="15">
      <c r="A41" s="253"/>
      <c r="B41" s="333" t="s">
        <v>420</v>
      </c>
      <c r="C41" s="333"/>
      <c r="D41" s="333"/>
      <c r="E41" s="333"/>
      <c r="F41" s="254"/>
    </row>
    <row r="42" spans="1:7" ht="15">
      <c r="A42" s="329"/>
      <c r="B42" s="329"/>
      <c r="C42" s="329"/>
      <c r="D42" s="329"/>
      <c r="E42" s="329"/>
      <c r="F42" s="329"/>
    </row>
    <row r="43" spans="1:7" ht="15">
      <c r="A43" s="334" t="s">
        <v>421</v>
      </c>
      <c r="B43" s="334"/>
      <c r="C43" s="334"/>
      <c r="D43" s="334"/>
      <c r="E43" s="257"/>
      <c r="F43" s="258"/>
    </row>
    <row r="44" spans="1:7" ht="15">
      <c r="A44" s="335" t="s">
        <v>422</v>
      </c>
      <c r="B44" s="335"/>
      <c r="C44" s="335"/>
      <c r="D44" s="335"/>
      <c r="E44" s="255"/>
      <c r="F44" s="258"/>
    </row>
    <row r="45" spans="1:7" ht="15">
      <c r="A45" s="331" t="s">
        <v>423</v>
      </c>
      <c r="B45" s="331"/>
      <c r="C45" s="331"/>
      <c r="D45" s="331"/>
      <c r="E45" s="331"/>
      <c r="F45" s="254"/>
    </row>
    <row r="46" spans="1:7" ht="15">
      <c r="A46" s="331" t="s">
        <v>424</v>
      </c>
      <c r="B46" s="331"/>
      <c r="C46" s="331"/>
      <c r="D46" s="331"/>
      <c r="E46" s="331"/>
      <c r="F46" s="254"/>
    </row>
    <row r="47" spans="1:7" ht="15">
      <c r="A47" s="331" t="s">
        <v>425</v>
      </c>
      <c r="B47" s="331"/>
      <c r="C47" s="331"/>
      <c r="D47" s="331"/>
      <c r="E47" s="331"/>
      <c r="F47" s="254"/>
      <c r="G47" s="266"/>
    </row>
    <row r="48" spans="1:7" ht="15">
      <c r="A48" s="259"/>
      <c r="B48" s="301"/>
      <c r="C48" s="301"/>
      <c r="D48" s="301"/>
      <c r="E48" s="301"/>
      <c r="F48" s="301"/>
    </row>
    <row r="49" spans="1:6" ht="14.25" customHeight="1">
      <c r="A49" s="261"/>
      <c r="B49" s="302"/>
      <c r="C49" s="302"/>
      <c r="D49" s="302"/>
      <c r="E49" s="302"/>
      <c r="F49" s="302"/>
    </row>
    <row r="50" spans="1:6" ht="14.25" customHeight="1">
      <c r="A50" s="261"/>
      <c r="B50" s="302"/>
      <c r="D50" s="328" t="s">
        <v>536</v>
      </c>
      <c r="E50" s="328"/>
      <c r="F50" s="328"/>
    </row>
    <row r="51" spans="1:6" ht="15">
      <c r="D51" s="328" t="s">
        <v>537</v>
      </c>
      <c r="E51" s="328"/>
      <c r="F51" s="328"/>
    </row>
    <row r="52" spans="1:6" ht="15">
      <c r="D52" s="328" t="s">
        <v>538</v>
      </c>
      <c r="E52" s="328"/>
      <c r="F52" s="328"/>
    </row>
  </sheetData>
  <mergeCells count="31">
    <mergeCell ref="A44:D44"/>
    <mergeCell ref="A45:E45"/>
    <mergeCell ref="A46:E46"/>
    <mergeCell ref="A47:E47"/>
    <mergeCell ref="C38:D38"/>
    <mergeCell ref="C39:D39"/>
    <mergeCell ref="C40:D40"/>
    <mergeCell ref="B41:E41"/>
    <mergeCell ref="A42:F42"/>
    <mergeCell ref="A43:D43"/>
    <mergeCell ref="B32:E32"/>
    <mergeCell ref="A33:F33"/>
    <mergeCell ref="B34:F34"/>
    <mergeCell ref="C35:D35"/>
    <mergeCell ref="C36:D36"/>
    <mergeCell ref="A25:F25"/>
    <mergeCell ref="D50:F50"/>
    <mergeCell ref="D51:F51"/>
    <mergeCell ref="D52:F52"/>
    <mergeCell ref="A1:F1"/>
    <mergeCell ref="A7:F7"/>
    <mergeCell ref="A11:F11"/>
    <mergeCell ref="B12:F12"/>
    <mergeCell ref="B24:E24"/>
    <mergeCell ref="C37:D37"/>
    <mergeCell ref="B26:F2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paperSize="14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543A97B139440A830D52409D5C0B4" ma:contentTypeVersion="16" ma:contentTypeDescription="Create a new document." ma:contentTypeScope="" ma:versionID="a1f4147110f5c7db731de4085e81943f">
  <xsd:schema xmlns:xsd="http://www.w3.org/2001/XMLSchema" xmlns:xs="http://www.w3.org/2001/XMLSchema" xmlns:p="http://schemas.microsoft.com/office/2006/metadata/properties" xmlns:ns2="88d2cb5b-66b9-4e47-b634-6ca24813bc1f" xmlns:ns3="4dcd1eec-69c5-4090-b7c0-f661f27f340f" targetNamespace="http://schemas.microsoft.com/office/2006/metadata/properties" ma:root="true" ma:fieldsID="191e433155119d74e1e9a008e8e2cbe7" ns2:_="" ns3:_="">
    <xsd:import namespace="88d2cb5b-66b9-4e47-b634-6ca24813bc1f"/>
    <xsd:import namespace="4dcd1eec-69c5-4090-b7c0-f661f27f34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2cb5b-66b9-4e47-b634-6ca24813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88ae16c-7ba9-48a6-8659-c1e98b63a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d1eec-69c5-4090-b7c0-f661f27f34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7ba9423-758b-4c5b-b379-fe136419f0ab}" ma:internalName="TaxCatchAll" ma:showField="CatchAllData" ma:web="4dcd1eec-69c5-4090-b7c0-f661f27f3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3894A-DDB7-4F3D-B859-D25EB44A70BE}"/>
</file>

<file path=customXml/itemProps2.xml><?xml version="1.0" encoding="utf-8"?>
<ds:datastoreItem xmlns:ds="http://schemas.openxmlformats.org/officeDocument/2006/customXml" ds:itemID="{220D23BD-F582-473C-8718-7690D7D931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34</vt:i4>
      </vt:variant>
    </vt:vector>
  </HeadingPairs>
  <TitlesOfParts>
    <vt:vector size="77" baseType="lpstr">
      <vt:lpstr>Revised Repainting of TSU Hotel</vt:lpstr>
      <vt:lpstr>Repainting of TSU Hotel Facade</vt:lpstr>
      <vt:lpstr>1.1</vt:lpstr>
      <vt:lpstr>1.2</vt:lpstr>
      <vt:lpstr>1.3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3.1</vt:lpstr>
      <vt:lpstr>3.2</vt:lpstr>
      <vt:lpstr>3.3</vt:lpstr>
      <vt:lpstr>3.4</vt:lpstr>
      <vt:lpstr>3.5</vt:lpstr>
      <vt:lpstr>3.6</vt:lpstr>
      <vt:lpstr>3.7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Left</vt:lpstr>
      <vt:lpstr>Right</vt:lpstr>
      <vt:lpstr>Front</vt:lpstr>
      <vt:lpstr>Rear</vt:lpstr>
      <vt:lpstr>Scaffolding Works</vt:lpstr>
      <vt:lpstr>COMPUTATION</vt:lpstr>
      <vt:lpstr>PPO Detailed Estimate</vt:lpstr>
      <vt:lpstr>IMO-PPO ESTIMATE new format</vt:lpstr>
      <vt:lpstr>IMO Detailed Estimate</vt:lpstr>
      <vt:lpstr>2blackboard</vt:lpstr>
      <vt:lpstr>3blackboard1whiteboard</vt:lpstr>
      <vt:lpstr>INITIATOR ADD ORDER REQUEST</vt:lpstr>
      <vt:lpstr>ADDITIONAL WORKS AUTHORIZATION</vt:lpstr>
      <vt:lpstr>'1.1'!Print_Area</vt:lpstr>
      <vt:lpstr>'1.2'!Print_Area</vt:lpstr>
      <vt:lpstr>'1.3'!Print_Area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'2.7'!Print_Area</vt:lpstr>
      <vt:lpstr>'2.8'!Print_Area</vt:lpstr>
      <vt:lpstr>'2.9'!Print_Area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  <vt:lpstr>'3.7'!Print_Area</vt:lpstr>
      <vt:lpstr>'4.1'!Print_Area</vt:lpstr>
      <vt:lpstr>'4.2'!Print_Area</vt:lpstr>
      <vt:lpstr>'4.3'!Print_Area</vt:lpstr>
      <vt:lpstr>'4.4'!Print_Area</vt:lpstr>
      <vt:lpstr>'4.5'!Print_Area</vt:lpstr>
      <vt:lpstr>'4.6'!Print_Area</vt:lpstr>
      <vt:lpstr>'4.7'!Print_Area</vt:lpstr>
      <vt:lpstr>'4.8'!Print_Area</vt:lpstr>
      <vt:lpstr>'4.9'!Print_Area</vt:lpstr>
      <vt:lpstr>'ADDITIONAL WORKS AUTHORIZATION'!Print_Area</vt:lpstr>
      <vt:lpstr>'IMO Detailed Estimate'!Print_Area</vt:lpstr>
      <vt:lpstr>'IMO-PPO ESTIMATE new format'!Print_Area</vt:lpstr>
      <vt:lpstr>'PPO Detailed Estimate'!Print_Area</vt:lpstr>
      <vt:lpstr>'Repainting of TSU Hotel Facade'!Print_Area</vt:lpstr>
      <vt:lpstr>'Revised Repainting of TSU Hotel'!Print_Area</vt:lpstr>
    </vt:vector>
  </TitlesOfParts>
  <Company>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RAED</dc:creator>
  <cp:lastModifiedBy>Jhenna Micah Manankil</cp:lastModifiedBy>
  <cp:lastPrinted>2024-02-15T00:30:18Z</cp:lastPrinted>
  <dcterms:created xsi:type="dcterms:W3CDTF">2006-08-15T17:29:26Z</dcterms:created>
  <dcterms:modified xsi:type="dcterms:W3CDTF">2024-02-15T00:30:21Z</dcterms:modified>
</cp:coreProperties>
</file>